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tuell\Arbeit\Aktuelle Artikel\2025\20250519 Kosten des Pflanzenschutzes\"/>
    </mc:Choice>
  </mc:AlternateContent>
  <xr:revisionPtr revIDLastSave="0" documentId="13_ncr:1_{13351733-9639-4825-B866-6FCAEF8C4F6E}" xr6:coauthVersionLast="47" xr6:coauthVersionMax="47" xr10:uidLastSave="{00000000-0000-0000-0000-000000000000}"/>
  <bookViews>
    <workbookView xWindow="-120" yWindow="600" windowWidth="29040" windowHeight="15000" activeTab="1" xr2:uid="{00000000-000D-0000-FFFF-FFFF00000000}"/>
  </bookViews>
  <sheets>
    <sheet name="Kostenzusammenstellung" sheetId="6" r:id="rId1"/>
    <sheet name="Mittelkosten 2025" sheetId="9" r:id="rId2"/>
    <sheet name="Schlagkraft der Geräte" sheetId="2" r:id="rId3"/>
    <sheet name="Kosten Schlepper" sheetId="3" r:id="rId4"/>
    <sheet name="Kosten Pflanzenschutzgerät" sheetId="10" r:id="rId5"/>
    <sheet name="Wegestrecken" sheetId="7" r:id="rId6"/>
    <sheet name="Mittelkosten 2023" sheetId="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6" l="1"/>
  <c r="C5" i="6"/>
  <c r="S16" i="9"/>
  <c r="S15" i="9"/>
  <c r="S9" i="9"/>
  <c r="S8" i="9"/>
  <c r="S6" i="9"/>
  <c r="P10" i="9"/>
  <c r="S5" i="9"/>
  <c r="S3" i="9"/>
  <c r="P11" i="9" l="1"/>
  <c r="S11" i="9" s="1"/>
  <c r="S10" i="9"/>
  <c r="S12" i="9"/>
  <c r="S7" i="9"/>
  <c r="S4" i="9"/>
  <c r="S14" i="9" l="1"/>
  <c r="C4" i="6" s="1"/>
  <c r="C10" i="6"/>
  <c r="D23" i="10"/>
  <c r="C21" i="10"/>
  <c r="C7" i="10"/>
  <c r="C6" i="10"/>
  <c r="C5" i="10"/>
  <c r="C4" i="10"/>
  <c r="C3" i="10" s="1"/>
  <c r="S3" i="1"/>
  <c r="S4" i="1"/>
  <c r="S5" i="1"/>
  <c r="S6" i="1"/>
  <c r="S7" i="1"/>
  <c r="S8" i="1"/>
  <c r="S9" i="1"/>
  <c r="S10" i="1"/>
  <c r="S12" i="1"/>
  <c r="S13" i="1"/>
  <c r="S14" i="1"/>
  <c r="B6" i="6"/>
  <c r="C9" i="10" l="1"/>
  <c r="E9" i="10" s="1"/>
  <c r="E26" i="10" s="1"/>
  <c r="B9" i="6"/>
  <c r="D23" i="3"/>
  <c r="C21" i="3"/>
  <c r="C7" i="3"/>
  <c r="C6" i="3"/>
  <c r="C5" i="3"/>
  <c r="C4" i="3"/>
  <c r="C3" i="3" s="1"/>
  <c r="C9" i="3" l="1"/>
  <c r="E9" i="3" s="1"/>
  <c r="E26" i="3" s="1"/>
  <c r="S28" i="1"/>
  <c r="A22" i="6"/>
  <c r="S35" i="1"/>
  <c r="S34" i="1"/>
  <c r="S31" i="1"/>
  <c r="S30" i="1"/>
  <c r="S29" i="1"/>
  <c r="S27" i="1"/>
  <c r="S26" i="1"/>
  <c r="S25" i="1"/>
  <c r="S24" i="1"/>
  <c r="S23" i="1"/>
  <c r="S33" i="1" l="1"/>
  <c r="C6" i="6"/>
  <c r="B24" i="6" s="1"/>
  <c r="B23" i="6" l="1"/>
  <c r="B22" i="6"/>
  <c r="B26" i="6" l="1"/>
  <c r="B25" i="6"/>
  <c r="B27" i="6" l="1"/>
  <c r="C12" i="6"/>
  <c r="C1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Tim</author>
    <author>Tim Ochssner</author>
  </authors>
  <commentList>
    <comment ref="L4" authorId="0" shapeId="0" xr:uid="{2A2F7C77-4582-49E0-82D3-2840F40ABF2B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 WDG</t>
        </r>
      </text>
    </comment>
    <comment ref="M4" authorId="0" shapeId="0" xr:uid="{E1BEF44E-BA71-4334-8086-74F59BEA7982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Netzschwefrel Preis pro kg mal 3,6</t>
        </r>
      </text>
    </comment>
    <comment ref="L5" authorId="0" shapeId="0" xr:uid="{BDBD45B1-370C-495D-87AA-EB992A713514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</t>
        </r>
      </text>
    </comment>
    <comment ref="M5" authorId="0" shapeId="0" xr:uid="{DA7E11C0-7B29-4233-9AE6-386A5FA686B3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ProsperTec</t>
        </r>
      </text>
    </comment>
    <comment ref="P5" authorId="1" shapeId="0" xr:uid="{3D7CFD92-75F1-4CCA-9C0B-0DF07E6E8D3D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Stulln Netzschwefel inc Mwst</t>
        </r>
      </text>
    </comment>
    <comment ref="Q5" authorId="1" shapeId="0" xr:uid="{0FF45E76-C1EA-40B9-9455-98047BD6CB43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Eisenblattdünger</t>
        </r>
      </text>
    </comment>
    <comment ref="L6" authorId="0" shapeId="0" xr:uid="{0796F2BE-13BE-4C93-89C1-3B98E9EAF62A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Profiler</t>
        </r>
      </text>
    </comment>
    <comment ref="M6" authorId="0" shapeId="0" xr:uid="{43D05F0A-E1E0-4B81-B17A-7217C565B8A7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Talendo</t>
        </r>
      </text>
    </comment>
    <comment ref="P6" authorId="1" shapeId="0" xr:uid="{79C99B14-FCFC-479C-8530-71A60E60387F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Netzschwefel</t>
        </r>
      </text>
    </comment>
    <comment ref="Q6" authorId="1" shapeId="0" xr:uid="{37AB5E63-F02E-40BD-827F-6C4A4E4EA26F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Eisen</t>
        </r>
      </text>
    </comment>
    <comment ref="L7" authorId="0" shapeId="0" xr:uid="{9EA40FD5-B582-448C-BB97-DB30867655F9}">
      <text>
        <r>
          <rPr>
            <b/>
            <sz val="8"/>
            <color indexed="81"/>
            <rFont val="Tahoma"/>
            <family val="2"/>
          </rPr>
          <t>Melody Combi</t>
        </r>
      </text>
    </comment>
    <comment ref="M7" authorId="0" shapeId="0" xr:uid="{6C8AEFDD-8797-43EB-B157-1B3A9C041CB6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Belanty</t>
        </r>
      </text>
    </comment>
    <comment ref="L8" authorId="0" shapeId="0" xr:uid="{E12EDA48-8B78-49C1-B499-08DD9637B5E6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Zorvec vinabel</t>
        </r>
      </text>
    </comment>
    <comment ref="M8" authorId="0" shapeId="0" xr:uid="{79552B64-1D9E-4F13-A9F3-375D51E130AE}">
      <text>
        <r>
          <rPr>
            <b/>
            <sz val="8"/>
            <color indexed="81"/>
            <rFont val="Tahoma"/>
            <family val="2"/>
          </rPr>
          <t>Tim:
Sercadis</t>
        </r>
      </text>
    </comment>
    <comment ref="L9" authorId="0" shapeId="0" xr:uid="{3B65195D-0D88-482C-98E1-CAC3BA1EDB2E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Gold</t>
        </r>
      </text>
    </comment>
    <comment ref="M9" authorId="0" shapeId="0" xr:uid="{E563F47C-DF4F-4C75-B944-0D90A364EE8C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Belanty</t>
        </r>
      </text>
    </comment>
    <comment ref="L10" authorId="0" shapeId="0" xr:uid="{DC8DB9E8-6E11-464D-9B53-C1925AE6A9F6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Gold</t>
        </r>
      </text>
    </comment>
    <comment ref="M10" authorId="0" shapeId="0" xr:uid="{1B326228-F0B5-4B85-AFC0-70BB107C00E8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Luna Max</t>
        </r>
      </text>
    </comment>
    <comment ref="P10" authorId="1" shapeId="0" xr:uid="{80770D64-D3D9-4320-9BCA-D0D7218378B2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Netzschwefel</t>
        </r>
      </text>
    </comment>
    <comment ref="L11" authorId="0" shapeId="0" xr:uid="{B80E7E38-560D-4195-8F7B-7F04ABE2F933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
</t>
        </r>
      </text>
    </comment>
    <comment ref="M11" authorId="0" shapeId="0" xr:uid="{42140094-3ACA-4296-B62B-8BDA4DDFB71C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Talendo</t>
        </r>
      </text>
    </comment>
    <comment ref="P11" authorId="1" shapeId="0" xr:uid="{0C60D9DB-A4E1-4EED-A4A0-F58E39316499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Netzschwefel</t>
        </r>
      </text>
    </comment>
    <comment ref="L12" authorId="0" shapeId="0" xr:uid="{98B144B1-7C19-425C-B49C-7DBAFDB09118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Cuprozin flüssig</t>
        </r>
      </text>
    </comment>
    <comment ref="M12" authorId="0" shapeId="0" xr:uid="{E4411E50-3E55-4E68-81BE-3CFF69CE471B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Topas</t>
        </r>
      </text>
    </comment>
    <comment ref="P12" authorId="1" shapeId="0" xr:uid="{C025047A-1A69-4B63-BA79-5F6DB78F47E4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Kumar</t>
        </r>
      </text>
    </comment>
    <comment ref="Q12" authorId="1" shapeId="0" xr:uid="{EA052814-4177-4C54-841A-B492A1805C55}">
      <text>
        <r>
          <rPr>
            <b/>
            <sz val="9"/>
            <color indexed="81"/>
            <rFont val="Segoe UI"/>
            <family val="2"/>
          </rPr>
          <t>Tim Ochssner:</t>
        </r>
        <r>
          <rPr>
            <sz val="9"/>
            <color indexed="81"/>
            <rFont val="Segoe UI"/>
            <family val="2"/>
          </rPr>
          <t xml:space="preserve">
Bittersalz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Tim</author>
  </authors>
  <commentList>
    <comment ref="L4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Polyam WG</t>
        </r>
      </text>
    </comment>
    <comment ref="M4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Netzschwefrel</t>
        </r>
      </text>
    </comment>
    <comment ref="L5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</t>
        </r>
      </text>
    </comment>
    <comment ref="M5" authorId="0" shapeId="0" xr:uid="{00000000-0006-0000-0200-000004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Systhane 20 EW</t>
        </r>
      </text>
    </comment>
    <comment ref="L6" authorId="0" shapeId="0" xr:uid="{00000000-0006-0000-0200-000005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Profiler</t>
        </r>
      </text>
    </comment>
    <comment ref="M6" authorId="0" shapeId="0" xr:uid="{00000000-0006-0000-0200-000006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Vivando</t>
        </r>
      </text>
    </comment>
    <comment ref="L7" authorId="0" shapeId="0" xr:uid="{00000000-0006-0000-0200-000007000000}">
      <text>
        <r>
          <rPr>
            <b/>
            <sz val="8"/>
            <color indexed="81"/>
            <rFont val="Tahoma"/>
            <family val="2"/>
          </rPr>
          <t>Tim:
Orvego</t>
        </r>
      </text>
    </comment>
    <comment ref="M7" authorId="0" shapeId="0" xr:uid="{00000000-0006-0000-0200-000008000000}">
      <text>
        <r>
          <rPr>
            <b/>
            <sz val="8"/>
            <color indexed="81"/>
            <rFont val="Tahoma"/>
            <family val="2"/>
          </rPr>
          <t>Tim:
Luna Experience</t>
        </r>
      </text>
    </comment>
    <comment ref="N7" authorId="0" shapeId="0" xr:uid="{00000000-0006-0000-0200-000009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Cantus</t>
        </r>
      </text>
    </comment>
    <comment ref="L8" authorId="0" shapeId="0" xr:uid="{00000000-0006-0000-0200-00000A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 WDG</t>
        </r>
      </text>
    </comment>
    <comment ref="M8" authorId="0" shapeId="0" xr:uid="{00000000-0006-0000-0200-00000B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Talendo</t>
        </r>
      </text>
    </comment>
    <comment ref="L9" authorId="0" shapeId="0" xr:uid="{00000000-0006-0000-0200-00000C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Melody Combi</t>
        </r>
      </text>
    </comment>
    <comment ref="M9" authorId="0" shapeId="0" xr:uid="{00000000-0006-0000-0200-00000D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Topas</t>
        </r>
      </text>
    </comment>
    <comment ref="L10" authorId="0" shapeId="0" xr:uid="{00000000-0006-0000-0200-00000E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Cuprozin flüssig</t>
        </r>
      </text>
    </comment>
    <comment ref="M10" authorId="0" shapeId="0" xr:uid="{00000000-0006-0000-0200-00000F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Vitisan</t>
        </r>
      </text>
    </comment>
    <comment ref="N10" authorId="0" shapeId="0" xr:uid="{00000000-0006-0000-0200-000010000000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Switch</t>
        </r>
      </text>
    </comment>
    <comment ref="L24" authorId="0" shapeId="0" xr:uid="{F15D1B05-E16B-481D-A282-FEAB9F326591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Dithane Neo Tec
</t>
        </r>
      </text>
    </comment>
    <comment ref="M24" authorId="0" shapeId="0" xr:uid="{202094BA-11FD-4B29-966A-FC2A8980B826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Netzschwefrel</t>
        </r>
      </text>
    </comment>
    <comment ref="L25" authorId="0" shapeId="0" xr:uid="{AD7B1F95-AA36-41BD-AF39-62924FB2923C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</t>
        </r>
      </text>
    </comment>
    <comment ref="M25" authorId="0" shapeId="0" xr:uid="{D6B28792-1E3A-4D82-A699-CE2F3DA95615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Systhane 20 EW</t>
        </r>
      </text>
    </comment>
    <comment ref="L26" authorId="0" shapeId="0" xr:uid="{F99EEF02-2C40-478C-AFAA-0B2142EFAEE2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</t>
        </r>
      </text>
    </comment>
    <comment ref="M26" authorId="0" shapeId="0" xr:uid="{D06DBDFB-B2C8-4ECA-80F9-DC15EA27988A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Vivando</t>
        </r>
      </text>
    </comment>
    <comment ref="L27" authorId="0" shapeId="0" xr:uid="{38F994BF-75ED-4AAD-867A-3B6DC1B85ADB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</t>
        </r>
      </text>
    </comment>
    <comment ref="M27" authorId="0" shapeId="0" xr:uid="{70FA4A1B-E74A-49BF-8D97-E1A5E03AD278}">
      <text>
        <r>
          <rPr>
            <b/>
            <sz val="8"/>
            <color indexed="81"/>
            <rFont val="Tahoma"/>
            <family val="2"/>
          </rPr>
          <t>Tim:
Luna Experience</t>
        </r>
      </text>
    </comment>
    <comment ref="N27" authorId="0" shapeId="0" xr:uid="{C63D6ECB-B472-4C6A-8C90-22C13CACE4DD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Cantus</t>
        </r>
      </text>
    </comment>
    <comment ref="L28" authorId="0" shapeId="0" xr:uid="{2F67C239-6E1B-45D1-8BC0-A743BD94BF66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 WDG</t>
        </r>
      </text>
    </comment>
    <comment ref="M28" authorId="0" shapeId="0" xr:uid="{CEB3E18E-935F-420B-AAC6-FA023B94A60D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Talendo</t>
        </r>
      </text>
    </comment>
    <comment ref="L29" authorId="0" shapeId="0" xr:uid="{61096A55-6D6F-4C36-9B93-CD7F9D3A491E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Folpan 80 WDG</t>
        </r>
      </text>
    </comment>
    <comment ref="M29" authorId="0" shapeId="0" xr:uid="{4454487D-8821-4B99-BA4A-66362ED7FF19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Talendo</t>
        </r>
      </text>
    </comment>
    <comment ref="L30" authorId="0" shapeId="0" xr:uid="{BC04518A-E84A-4E57-BA5F-0360B41D8909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Melody Combi</t>
        </r>
      </text>
    </comment>
    <comment ref="M30" authorId="0" shapeId="0" xr:uid="{1E2FE398-6D20-4B1A-BD85-91B2E02EDDFB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Topas</t>
        </r>
      </text>
    </comment>
    <comment ref="L31" authorId="0" shapeId="0" xr:uid="{F4A87C30-002D-40B7-B4DE-4F906BFB2D1D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Cuprozin flüssig</t>
        </r>
      </text>
    </comment>
    <comment ref="M31" authorId="0" shapeId="0" xr:uid="{D6681B7C-9530-4A45-AF74-94E901B03D28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Vitisan</t>
        </r>
      </text>
    </comment>
    <comment ref="N31" authorId="0" shapeId="0" xr:uid="{A665A15C-D938-4ECE-8AD5-980B397E02DF}">
      <text>
        <r>
          <rPr>
            <b/>
            <sz val="8"/>
            <color indexed="81"/>
            <rFont val="Tahoma"/>
            <family val="2"/>
          </rPr>
          <t>Tim:</t>
        </r>
        <r>
          <rPr>
            <sz val="8"/>
            <color indexed="81"/>
            <rFont val="Tahoma"/>
            <family val="2"/>
          </rPr>
          <t xml:space="preserve">
Switch</t>
        </r>
      </text>
    </comment>
  </commentList>
</comments>
</file>

<file path=xl/sharedStrings.xml><?xml version="1.0" encoding="utf-8"?>
<sst xmlns="http://schemas.openxmlformats.org/spreadsheetml/2006/main" count="264" uniqueCount="143">
  <si>
    <t>1. Vorblütebehandlung</t>
  </si>
  <si>
    <t>2. Vorblütebehandlung</t>
  </si>
  <si>
    <t>Blütebehandlung</t>
  </si>
  <si>
    <t xml:space="preserve">2. Nachblütebehandlung </t>
  </si>
  <si>
    <t>3. Nachblütebehandlung</t>
  </si>
  <si>
    <t>Basisaufwand</t>
  </si>
  <si>
    <t>Peronospora protektiv</t>
  </si>
  <si>
    <t>Peronospora kurativ</t>
  </si>
  <si>
    <t>Oidium</t>
  </si>
  <si>
    <t>Botrytis</t>
  </si>
  <si>
    <t>Traubenwickler</t>
  </si>
  <si>
    <t>Vorgesehene Behandlungen</t>
  </si>
  <si>
    <t>Pflanzenschutzmaßnahme</t>
  </si>
  <si>
    <t>100-400</t>
  </si>
  <si>
    <t>200-800</t>
  </si>
  <si>
    <t>250-800</t>
  </si>
  <si>
    <t>300-800</t>
  </si>
  <si>
    <t>400-800</t>
  </si>
  <si>
    <t>Peronospora</t>
  </si>
  <si>
    <t>Traubenwickler (Pheromonanwendung)</t>
  </si>
  <si>
    <t>Summe der Mittelkosten</t>
  </si>
  <si>
    <t>Vor Traubenschlussbehandlung</t>
  </si>
  <si>
    <t>Abschlussbehandlung</t>
  </si>
  <si>
    <t>2 m Zeilenbreite</t>
  </si>
  <si>
    <t>Reihenlänge 100 m</t>
  </si>
  <si>
    <t>6,50 m Vorgewende</t>
  </si>
  <si>
    <t>Arbeitszeit pro Hektar</t>
  </si>
  <si>
    <t>jede Zeile</t>
  </si>
  <si>
    <t>55 Minuten</t>
  </si>
  <si>
    <t>jede 2 te Zeile</t>
  </si>
  <si>
    <t>Reine Fahrtzeit in abhängigkeit des Gerätetypes</t>
  </si>
  <si>
    <t>4 Teilbreiten</t>
  </si>
  <si>
    <t>30 Minuten</t>
  </si>
  <si>
    <t>40 Minuten</t>
  </si>
  <si>
    <t>8 Teilbreiten</t>
  </si>
  <si>
    <t>18 Minuten</t>
  </si>
  <si>
    <t>Anschaffungswert</t>
  </si>
  <si>
    <t>Zinssatz</t>
  </si>
  <si>
    <t>Kosten pro Jahr</t>
  </si>
  <si>
    <t>Restwert</t>
  </si>
  <si>
    <t>Fixe Kosten</t>
  </si>
  <si>
    <t>Summe Fixe Kosten</t>
  </si>
  <si>
    <t>Variable Kosten</t>
  </si>
  <si>
    <t>Treibstoff</t>
  </si>
  <si>
    <t>Kosten pro Stunde</t>
  </si>
  <si>
    <t>Öl</t>
  </si>
  <si>
    <t>Reparatur</t>
  </si>
  <si>
    <t>Summe Variable Kosten pro Stunde</t>
  </si>
  <si>
    <t>Berechnung</t>
  </si>
  <si>
    <t>Unterbringung</t>
  </si>
  <si>
    <t>Kosten:</t>
  </si>
  <si>
    <t>Mittelkosten</t>
  </si>
  <si>
    <t xml:space="preserve">Wasserkosten </t>
  </si>
  <si>
    <t>hoher Wasseraufwand</t>
  </si>
  <si>
    <t>Arbeitskosten</t>
  </si>
  <si>
    <t xml:space="preserve">Anzahl der Behandlungen </t>
  </si>
  <si>
    <t>Auslastung des Pflanzenschutzgerätes</t>
  </si>
  <si>
    <t>Summe der Kosten</t>
  </si>
  <si>
    <t>160 h/Jahr</t>
  </si>
  <si>
    <t>Annahmen für Berechnungsgrundlage</t>
  </si>
  <si>
    <t>Arbeitszeit pro Maßnahme (Stunden)</t>
  </si>
  <si>
    <t>Kosten pro Spritzung (Mittelwert)</t>
  </si>
  <si>
    <t>Wasserverbrauch minimal/ha</t>
  </si>
  <si>
    <t>Wasserverbrauch maximal/ha</t>
  </si>
  <si>
    <t>Berechnungsbeispiel für eine Pflanzenschutzmaßnahme für einen Hektar</t>
  </si>
  <si>
    <t>Zeilenbreite</t>
  </si>
  <si>
    <t>Anzahl der Zeilen</t>
  </si>
  <si>
    <t xml:space="preserve"> pro Hektar</t>
  </si>
  <si>
    <r>
      <t xml:space="preserve">(100 m , </t>
    </r>
    <r>
      <rPr>
        <sz val="12"/>
        <color indexed="12"/>
        <rFont val="Times New Roman"/>
        <family val="1"/>
      </rPr>
      <t>50 m</t>
    </r>
    <r>
      <rPr>
        <sz val="12"/>
        <rFont val="Times New Roman"/>
        <family val="1"/>
      </rPr>
      <t xml:space="preserve"> , </t>
    </r>
    <r>
      <rPr>
        <sz val="12"/>
        <color indexed="10"/>
        <rFont val="Times New Roman"/>
        <family val="1"/>
      </rPr>
      <t>300 m</t>
    </r>
    <r>
      <rPr>
        <sz val="12"/>
        <rFont val="Times New Roman"/>
        <family val="1"/>
      </rPr>
      <t xml:space="preserve"> Zeilenlänge)</t>
    </r>
  </si>
  <si>
    <t>Wegelänge bei</t>
  </si>
  <si>
    <t>unterschiedlicher</t>
  </si>
  <si>
    <t>Reine Fahrtzeit bei</t>
  </si>
  <si>
    <t xml:space="preserve"> 6 km/h</t>
  </si>
  <si>
    <t xml:space="preserve"> (ohne Wendezeit)</t>
  </si>
  <si>
    <t>Wendezeit</t>
  </si>
  <si>
    <t>(Pro Wendung</t>
  </si>
  <si>
    <t>18 s)</t>
  </si>
  <si>
    <t>Summe</t>
  </si>
  <si>
    <t>Fahrtzeit</t>
  </si>
  <si>
    <t>1,50 m</t>
  </si>
  <si>
    <t>6670 m/ha</t>
  </si>
  <si>
    <t>67 Minuten</t>
  </si>
  <si>
    <t>20 Minuten</t>
  </si>
  <si>
    <t>7 Minuten</t>
  </si>
  <si>
    <r>
      <t xml:space="preserve">87 Minuten  </t>
    </r>
    <r>
      <rPr>
        <sz val="12"/>
        <color indexed="12"/>
        <rFont val="Times New Roman"/>
        <family val="1"/>
      </rPr>
      <t>107 Minuten</t>
    </r>
  </si>
  <si>
    <t>74 Minuten</t>
  </si>
  <si>
    <t>2,00 m</t>
  </si>
  <si>
    <t>5000 m/ha</t>
  </si>
  <si>
    <t>50 Minuten</t>
  </si>
  <si>
    <t>15 Minuten</t>
  </si>
  <si>
    <t>5 Minuten</t>
  </si>
  <si>
    <t>65 Minuten</t>
  </si>
  <si>
    <t>80 Minuten</t>
  </si>
  <si>
    <t>3,00 m</t>
  </si>
  <si>
    <t>3330 m/ha</t>
  </si>
  <si>
    <t>34 Minuten</t>
  </si>
  <si>
    <t>10 Minuten</t>
  </si>
  <si>
    <t>4 Minuten</t>
  </si>
  <si>
    <t>44 Minuten</t>
  </si>
  <si>
    <t>54 Minuten</t>
  </si>
  <si>
    <t>38 Minuten</t>
  </si>
  <si>
    <t>Empfohlener Wasseraufwand in Liter pro Hektar</t>
  </si>
  <si>
    <t>Maschinenkosten Schlepper</t>
  </si>
  <si>
    <t>Maschinenkosten Pflanzenschutzgerät</t>
  </si>
  <si>
    <t>Phosphonat</t>
  </si>
  <si>
    <t>Mittelpreis pro Hektar (Beispielmittel) nach Basisaufwand gerechnet</t>
  </si>
  <si>
    <t>Summe des Pflanzenschutzes</t>
  </si>
  <si>
    <t>Blattdünger</t>
  </si>
  <si>
    <t>Blattdünger in L/ha oder kg/ha</t>
  </si>
  <si>
    <t>Phosphonat in L/ha</t>
  </si>
  <si>
    <t>Oidiumzusatz (netzschwefel/Backpulver</t>
  </si>
  <si>
    <t>Oidiumzusatz</t>
  </si>
  <si>
    <t>1* Eisen, + 2+ Bittersalz, 3* Veriphos 4* Vitisan</t>
  </si>
  <si>
    <t>Kosten einer Pflanzenschutzmaßnahme</t>
  </si>
  <si>
    <t>Billig und Riskant</t>
  </si>
  <si>
    <t xml:space="preserve">3. Nachblütebehandlung </t>
  </si>
  <si>
    <t>4. Nachblütebehandlung</t>
  </si>
  <si>
    <t>Quelle: Ermittelte Durchschnittspreise incl MwSt. ohne Rabatte für das Jahr 2022/2023</t>
  </si>
  <si>
    <t>Billig mit Risiko</t>
  </si>
  <si>
    <t>Systemberechnung Pflanzenschutz mittlere Intensität</t>
  </si>
  <si>
    <r>
      <t>Fixe Kosten pro Stunde bei</t>
    </r>
    <r>
      <rPr>
        <sz val="10"/>
        <color indexed="13"/>
        <rFont val="Arial"/>
        <family val="2"/>
      </rPr>
      <t xml:space="preserve"> ___</t>
    </r>
    <r>
      <rPr>
        <sz val="10"/>
        <rFont val="Arial"/>
        <family val="2"/>
      </rPr>
      <t xml:space="preserve"> Arbeitsstunden pro Jahr</t>
    </r>
  </si>
  <si>
    <t xml:space="preserve">Versicherung </t>
  </si>
  <si>
    <t>Nutzungsdauer in Jahren</t>
  </si>
  <si>
    <t>pro Betriebsstunde</t>
  </si>
  <si>
    <t>Einsatzbedfingungen</t>
  </si>
  <si>
    <t>Arbeitsstunden pro Jahr</t>
  </si>
  <si>
    <t>oder</t>
  </si>
  <si>
    <r>
      <t xml:space="preserve">Bitte nur Arbeitsstunden pro Jahr </t>
    </r>
    <r>
      <rPr>
        <sz val="8"/>
        <color indexed="10"/>
        <rFont val="Arial"/>
        <family val="2"/>
      </rPr>
      <t>oder</t>
    </r>
    <r>
      <rPr>
        <sz val="8"/>
        <rFont val="Arial"/>
        <family val="2"/>
      </rPr>
      <t xml:space="preserve"> Arbeitsstunden pro Hektar und Fläche eingeben!</t>
    </r>
  </si>
  <si>
    <t>Arbeitsstunden pro Hektar</t>
  </si>
  <si>
    <t>Einsatzfläche</t>
  </si>
  <si>
    <t xml:space="preserve"> --&gt; Arbeitsstunden pro Jahr</t>
  </si>
  <si>
    <t>Arbeitskosten des Schleppers pro Stunde ohne Fahrer =                                       Fixkosten pro Stunde zuzüglich Variabler Kosten pro Stunde:</t>
  </si>
  <si>
    <t>Auslastung des Schleppers (Stunden pro Jahr)</t>
  </si>
  <si>
    <t>Lohnansatz eigen:</t>
  </si>
  <si>
    <t>Lohnansatz Fremdlohn:</t>
  </si>
  <si>
    <t>Lohnansatz Schlepperfahrer:</t>
  </si>
  <si>
    <t>Arbeitskosten Schlepperfahrer</t>
  </si>
  <si>
    <t>abzüglich Prämie</t>
  </si>
  <si>
    <r>
      <t>Oidiumzusatz (</t>
    </r>
    <r>
      <rPr>
        <b/>
        <sz val="8"/>
        <color rgb="FF0070C0"/>
        <rFont val="Arial"/>
        <family val="2"/>
      </rPr>
      <t>Netzschwefe</t>
    </r>
    <r>
      <rPr>
        <b/>
        <sz val="8"/>
        <rFont val="Arial"/>
        <family val="2"/>
      </rPr>
      <t>l/</t>
    </r>
    <r>
      <rPr>
        <b/>
        <sz val="8"/>
        <color rgb="FFFF0000"/>
        <rFont val="Arial"/>
        <family val="2"/>
      </rPr>
      <t>Backpulver</t>
    </r>
    <r>
      <rPr>
        <b/>
        <sz val="8"/>
        <rFont val="Arial"/>
        <family val="2"/>
      </rPr>
      <t>) Liter oder Kilogramm</t>
    </r>
  </si>
  <si>
    <t>3. Vorblütebehandlung</t>
  </si>
  <si>
    <t>Arbeitskosten des Gerätes pro Stunde ohne Fahrer und Schlepper =                                               Fixkosten pro Stunde zuzüglich Variabler Kosten pro Stunde:</t>
  </si>
  <si>
    <t>Vollblüte/Nachblütebehandlung</t>
  </si>
  <si>
    <t>Quelle: Ermittelte Durchschnittspreise incl MwSt. ohne Rabatte für das Jahr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</si>
</sst>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24"/>
      <name val="Arial"/>
      <family val="2"/>
    </font>
    <font>
      <sz val="18"/>
      <color indexed="9"/>
      <name val="Arial"/>
      <family val="2"/>
    </font>
    <font>
      <sz val="10"/>
      <color indexed="13"/>
      <name val="Arial"/>
      <family val="2"/>
    </font>
    <font>
      <sz val="10"/>
      <color indexed="47"/>
      <name val="Arial"/>
      <family val="2"/>
    </font>
    <font>
      <sz val="8"/>
      <color indexed="1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10"/>
      <name val="Times New Roman"/>
      <family val="1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  <font>
      <b/>
      <sz val="8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2"/>
        <bgColor indexed="64"/>
      </patternFill>
    </fill>
    <fill>
      <gradientFill degree="90">
        <stop position="0">
          <color rgb="FFFFC000"/>
        </stop>
        <stop position="1">
          <color rgb="FFFF0000"/>
        </stop>
      </gradient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1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 textRotation="90" wrapText="1"/>
    </xf>
    <xf numFmtId="2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7" fillId="0" borderId="1" xfId="0" applyFont="1" applyBorder="1"/>
    <xf numFmtId="164" fontId="7" fillId="0" borderId="1" xfId="0" applyNumberFormat="1" applyFont="1" applyBorder="1"/>
    <xf numFmtId="10" fontId="0" fillId="0" borderId="1" xfId="0" applyNumberFormat="1" applyBorder="1"/>
    <xf numFmtId="0" fontId="9" fillId="4" borderId="2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wrapText="1"/>
    </xf>
    <xf numFmtId="0" fontId="12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3" fontId="13" fillId="0" borderId="1" xfId="0" applyNumberFormat="1" applyFont="1" applyBorder="1"/>
    <xf numFmtId="164" fontId="13" fillId="0" borderId="1" xfId="0" applyNumberFormat="1" applyFont="1" applyBorder="1"/>
    <xf numFmtId="3" fontId="13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3" fillId="5" borderId="0" xfId="0" applyFont="1" applyFill="1" applyAlignment="1">
      <alignment horizontal="center" vertical="center" textRotation="90" wrapText="1"/>
    </xf>
    <xf numFmtId="0" fontId="13" fillId="5" borderId="1" xfId="0" applyFont="1" applyFill="1" applyBorder="1" applyAlignment="1">
      <alignment horizontal="center" vertical="center" textRotation="90" wrapText="1"/>
    </xf>
    <xf numFmtId="0" fontId="13" fillId="6" borderId="1" xfId="0" applyFont="1" applyFill="1" applyBorder="1" applyAlignment="1">
      <alignment horizontal="center" vertical="center" textRotation="90" wrapText="1"/>
    </xf>
    <xf numFmtId="164" fontId="7" fillId="7" borderId="1" xfId="0" applyNumberFormat="1" applyFont="1" applyFill="1" applyBorder="1"/>
    <xf numFmtId="0" fontId="0" fillId="6" borderId="1" xfId="0" applyFill="1" applyBorder="1" applyAlignment="1">
      <alignment vertical="center" wrapText="1"/>
    </xf>
    <xf numFmtId="164" fontId="0" fillId="8" borderId="1" xfId="0" applyNumberFormat="1" applyFill="1" applyBorder="1"/>
    <xf numFmtId="2" fontId="0" fillId="9" borderId="1" xfId="0" applyNumberFormat="1" applyFill="1" applyBorder="1"/>
    <xf numFmtId="0" fontId="14" fillId="6" borderId="1" xfId="0" applyFont="1" applyFill="1" applyBorder="1"/>
    <xf numFmtId="0" fontId="0" fillId="6" borderId="1" xfId="0" applyFill="1" applyBorder="1"/>
    <xf numFmtId="0" fontId="7" fillId="7" borderId="1" xfId="0" applyFont="1" applyFill="1" applyBorder="1"/>
    <xf numFmtId="0" fontId="4" fillId="6" borderId="1" xfId="0" applyFont="1" applyFill="1" applyBorder="1" applyAlignment="1">
      <alignment horizontal="center" vertical="center" textRotation="90" wrapText="1"/>
    </xf>
    <xf numFmtId="0" fontId="8" fillId="7" borderId="1" xfId="0" applyFont="1" applyFill="1" applyBorder="1"/>
    <xf numFmtId="164" fontId="8" fillId="7" borderId="1" xfId="0" applyNumberFormat="1" applyFont="1" applyFill="1" applyBorder="1"/>
    <xf numFmtId="0" fontId="15" fillId="6" borderId="1" xfId="0" applyFont="1" applyFill="1" applyBorder="1" applyAlignment="1">
      <alignment wrapText="1"/>
    </xf>
    <xf numFmtId="0" fontId="4" fillId="0" borderId="1" xfId="0" applyFont="1" applyBorder="1"/>
    <xf numFmtId="0" fontId="16" fillId="10" borderId="0" xfId="0" applyFont="1" applyFill="1"/>
    <xf numFmtId="0" fontId="1" fillId="10" borderId="0" xfId="0" applyFont="1" applyFill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19" fillId="0" borderId="1" xfId="0" applyNumberFormat="1" applyFont="1" applyBorder="1"/>
    <xf numFmtId="0" fontId="0" fillId="2" borderId="1" xfId="0" applyFill="1" applyBorder="1" applyProtection="1">
      <protection locked="0"/>
    </xf>
    <xf numFmtId="164" fontId="8" fillId="0" borderId="1" xfId="0" applyNumberFormat="1" applyFont="1" applyBorder="1"/>
    <xf numFmtId="164" fontId="0" fillId="2" borderId="1" xfId="0" applyNumberFormat="1" applyFill="1" applyBorder="1"/>
    <xf numFmtId="0" fontId="1" fillId="0" borderId="1" xfId="0" applyFont="1" applyBorder="1"/>
    <xf numFmtId="164" fontId="8" fillId="12" borderId="1" xfId="0" applyNumberFormat="1" applyFont="1" applyFill="1" applyBorder="1"/>
    <xf numFmtId="164" fontId="22" fillId="7" borderId="1" xfId="0" applyNumberFormat="1" applyFont="1" applyFill="1" applyBorder="1"/>
    <xf numFmtId="0" fontId="14" fillId="0" borderId="1" xfId="0" applyFont="1" applyBorder="1"/>
    <xf numFmtId="0" fontId="23" fillId="0" borderId="15" xfId="0" applyFont="1" applyBorder="1" applyAlignment="1">
      <alignment vertical="top" wrapText="1"/>
    </xf>
    <xf numFmtId="164" fontId="15" fillId="13" borderId="1" xfId="0" applyNumberFormat="1" applyFont="1" applyFill="1" applyBorder="1" applyAlignment="1">
      <alignment horizontal="center"/>
    </xf>
    <xf numFmtId="164" fontId="14" fillId="13" borderId="1" xfId="0" applyNumberFormat="1" applyFont="1" applyFill="1" applyBorder="1" applyAlignment="1">
      <alignment horizontal="center"/>
    </xf>
    <xf numFmtId="164" fontId="4" fillId="0" borderId="1" xfId="0" applyNumberFormat="1" applyFont="1" applyBorder="1"/>
    <xf numFmtId="0" fontId="24" fillId="7" borderId="1" xfId="0" applyFont="1" applyFill="1" applyBorder="1"/>
    <xf numFmtId="0" fontId="24" fillId="7" borderId="1" xfId="0" applyFont="1" applyFill="1" applyBorder="1" applyAlignment="1">
      <alignment horizontal="center"/>
    </xf>
    <xf numFmtId="164" fontId="24" fillId="7" borderId="1" xfId="0" applyNumberFormat="1" applyFont="1" applyFill="1" applyBorder="1" applyAlignment="1">
      <alignment horizontal="center"/>
    </xf>
    <xf numFmtId="164" fontId="24" fillId="7" borderId="1" xfId="0" applyNumberFormat="1" applyFont="1" applyFill="1" applyBorder="1"/>
    <xf numFmtId="0" fontId="4" fillId="5" borderId="0" xfId="1" applyFont="1" applyFill="1" applyAlignment="1">
      <alignment horizontal="center" vertical="center" textRotation="90" wrapText="1"/>
    </xf>
    <xf numFmtId="0" fontId="4" fillId="5" borderId="1" xfId="1" applyFont="1" applyFill="1" applyBorder="1" applyAlignment="1">
      <alignment horizontal="center" vertical="center" textRotation="90" wrapText="1"/>
    </xf>
    <xf numFmtId="0" fontId="4" fillId="6" borderId="1" xfId="1" applyFont="1" applyFill="1" applyBorder="1" applyAlignment="1">
      <alignment horizontal="center" vertical="center" textRotation="90" wrapText="1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3" fontId="4" fillId="0" borderId="1" xfId="1" applyNumberFormat="1" applyFont="1" applyBorder="1"/>
    <xf numFmtId="164" fontId="4" fillId="0" borderId="1" xfId="1" applyNumberFormat="1" applyFont="1" applyBorder="1"/>
    <xf numFmtId="0" fontId="1" fillId="0" borderId="0" xfId="1" applyFont="1"/>
    <xf numFmtId="3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25" fillId="0" borderId="1" xfId="1" applyFont="1" applyBorder="1" applyAlignment="1">
      <alignment horizontal="center"/>
    </xf>
    <xf numFmtId="0" fontId="26" fillId="0" borderId="1" xfId="1" applyFont="1" applyBorder="1" applyAlignment="1">
      <alignment horizontal="center"/>
    </xf>
    <xf numFmtId="0" fontId="24" fillId="7" borderId="1" xfId="1" applyFont="1" applyFill="1" applyBorder="1"/>
    <xf numFmtId="0" fontId="24" fillId="7" borderId="1" xfId="1" applyFont="1" applyFill="1" applyBorder="1" applyAlignment="1">
      <alignment horizontal="center"/>
    </xf>
    <xf numFmtId="164" fontId="24" fillId="7" borderId="1" xfId="1" applyNumberFormat="1" applyFont="1" applyFill="1" applyBorder="1" applyAlignment="1">
      <alignment horizontal="center"/>
    </xf>
    <xf numFmtId="164" fontId="24" fillId="7" borderId="1" xfId="1" applyNumberFormat="1" applyFont="1" applyFill="1" applyBorder="1"/>
    <xf numFmtId="0" fontId="1" fillId="0" borderId="0" xfId="1" applyFont="1" applyAlignment="1">
      <alignment horizontal="center" vertical="center" textRotation="90" wrapText="1"/>
    </xf>
    <xf numFmtId="0" fontId="4" fillId="0" borderId="0" xfId="1" applyFont="1"/>
    <xf numFmtId="0" fontId="1" fillId="0" borderId="0" xfId="1" applyFont="1" applyAlignment="1">
      <alignment horizontal="center"/>
    </xf>
    <xf numFmtId="0" fontId="17" fillId="11" borderId="9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4" fillId="5" borderId="12" xfId="1" applyFont="1" applyFill="1" applyBorder="1" applyAlignment="1">
      <alignment horizontal="center" vertical="center" textRotation="90" wrapText="1"/>
    </xf>
    <xf numFmtId="0" fontId="4" fillId="5" borderId="13" xfId="1" applyFont="1" applyFill="1" applyBorder="1" applyAlignment="1">
      <alignment horizontal="center" vertical="center" textRotation="90" wrapText="1"/>
    </xf>
    <xf numFmtId="0" fontId="7" fillId="5" borderId="13" xfId="1" applyFont="1" applyFill="1" applyBorder="1" applyAlignment="1">
      <alignment horizontal="center" vertical="center" textRotation="90" wrapText="1"/>
    </xf>
    <xf numFmtId="0" fontId="7" fillId="5" borderId="14" xfId="1" applyFont="1" applyFill="1" applyBorder="1" applyAlignment="1">
      <alignment horizontal="center" vertical="center" textRotation="90" wrapText="1"/>
    </xf>
    <xf numFmtId="0" fontId="4" fillId="0" borderId="1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/>
    <xf numFmtId="0" fontId="21" fillId="7" borderId="5" xfId="0" applyFont="1" applyFill="1" applyBorder="1" applyAlignment="1">
      <alignment horizontal="center" wrapText="1"/>
    </xf>
    <xf numFmtId="0" fontId="21" fillId="7" borderId="6" xfId="0" applyFont="1" applyFill="1" applyBorder="1" applyAlignment="1">
      <alignment horizontal="center" wrapText="1"/>
    </xf>
    <xf numFmtId="0" fontId="21" fillId="7" borderId="7" xfId="0" applyFont="1" applyFill="1" applyBorder="1" applyAlignment="1">
      <alignment horizontal="center" wrapText="1"/>
    </xf>
    <xf numFmtId="0" fontId="21" fillId="7" borderId="8" xfId="0" applyFont="1" applyFill="1" applyBorder="1" applyAlignment="1">
      <alignment horizontal="center" wrapText="1"/>
    </xf>
    <xf numFmtId="0" fontId="21" fillId="7" borderId="9" xfId="0" applyFont="1" applyFill="1" applyBorder="1" applyAlignment="1">
      <alignment horizontal="center" wrapText="1"/>
    </xf>
    <xf numFmtId="0" fontId="21" fillId="7" borderId="10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vertical="top" wrapText="1"/>
    </xf>
    <xf numFmtId="0" fontId="9" fillId="4" borderId="3" xfId="0" applyFont="1" applyFill="1" applyBorder="1" applyAlignment="1">
      <alignment vertical="top" wrapText="1"/>
    </xf>
    <xf numFmtId="0" fontId="9" fillId="4" borderId="4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3" fillId="5" borderId="12" xfId="0" applyFont="1" applyFill="1" applyBorder="1" applyAlignment="1">
      <alignment horizontal="center" vertical="center" textRotation="90" wrapText="1"/>
    </xf>
    <xf numFmtId="0" fontId="13" fillId="5" borderId="13" xfId="0" applyFont="1" applyFill="1" applyBorder="1" applyAlignment="1">
      <alignment horizontal="center" vertical="center" textRotation="90" wrapText="1"/>
    </xf>
    <xf numFmtId="0" fontId="13" fillId="5" borderId="14" xfId="0" applyFont="1" applyFill="1" applyBorder="1" applyAlignment="1">
      <alignment horizontal="center" vertical="center" textRotation="90" wrapText="1"/>
    </xf>
    <xf numFmtId="0" fontId="7" fillId="5" borderId="13" xfId="0" applyFont="1" applyFill="1" applyBorder="1" applyAlignment="1">
      <alignment horizontal="center" vertical="center" textRotation="90" wrapText="1"/>
    </xf>
    <xf numFmtId="0" fontId="7" fillId="5" borderId="14" xfId="0" applyFont="1" applyFill="1" applyBorder="1" applyAlignment="1">
      <alignment horizontal="center" vertical="center" textRotation="90" wrapText="1"/>
    </xf>
  </cellXfs>
  <cellStyles count="2">
    <cellStyle name="Standard" xfId="0" builtinId="0"/>
    <cellStyle name="Standard 2" xfId="1" xr:uid="{26750F1C-CB28-4D46-A6BF-1B4DF4F97A5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Kostenverteilung bei einer Pflanzenschutzmaßnahme  </a:t>
            </a:r>
          </a:p>
        </c:rich>
      </c:tx>
      <c:layout>
        <c:manualLayout>
          <c:xMode val="edge"/>
          <c:yMode val="edge"/>
          <c:x val="0.18518531600479976"/>
          <c:y val="3.326813355030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7199093288204956"/>
          <c:y val="0.51076369744879968"/>
          <c:w val="0.15277788570395981"/>
          <c:h val="0.2583172722729562"/>
        </c:manualLayout>
      </c:layout>
      <c:pieChart>
        <c:varyColors val="1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D13-46FE-8E7A-7C1F59250EDE}"/>
              </c:ext>
            </c:extLst>
          </c:dPt>
          <c:dPt>
            <c:idx val="1"/>
            <c:bubble3D val="0"/>
            <c:spPr>
              <a:solidFill>
                <a:srgbClr val="80206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13-46FE-8E7A-7C1F59250EDE}"/>
              </c:ext>
            </c:extLst>
          </c:dPt>
          <c:dPt>
            <c:idx val="2"/>
            <c:bubble3D val="0"/>
            <c:spPr>
              <a:solidFill>
                <a:srgbClr val="FFFF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D13-46FE-8E7A-7C1F59250EDE}"/>
              </c:ext>
            </c:extLst>
          </c:dPt>
          <c:dPt>
            <c:idx val="3"/>
            <c:bubble3D val="0"/>
            <c:spPr>
              <a:solidFill>
                <a:srgbClr val="A0E0E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13-46FE-8E7A-7C1F59250EDE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D13-46FE-8E7A-7C1F59250EDE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bestFit"/>
            <c:showLegendKey val="1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Kostenzusammenstellung!$A$22:$A$26</c:f>
              <c:strCache>
                <c:ptCount val="5"/>
                <c:pt idx="0">
                  <c:v>Mittelkosten</c:v>
                </c:pt>
                <c:pt idx="1">
                  <c:v>Wasserkosten </c:v>
                </c:pt>
                <c:pt idx="2">
                  <c:v>Arbeitskosten</c:v>
                </c:pt>
                <c:pt idx="3">
                  <c:v>Maschinenkosten Schlepper</c:v>
                </c:pt>
                <c:pt idx="4">
                  <c:v>Maschinenkosten Pflanzenschutzgerät</c:v>
                </c:pt>
              </c:strCache>
            </c:strRef>
          </c:cat>
          <c:val>
            <c:numRef>
              <c:f>Kostenzusammenstellung!$B$22:$B$26</c:f>
              <c:numCache>
                <c:formatCode>#,##0.00\ "€"</c:formatCode>
                <c:ptCount val="5"/>
                <c:pt idx="0">
                  <c:v>1381.7904549999998</c:v>
                </c:pt>
                <c:pt idx="1">
                  <c:v>16.64</c:v>
                </c:pt>
                <c:pt idx="2">
                  <c:v>270</c:v>
                </c:pt>
                <c:pt idx="3">
                  <c:v>805.27499999999998</c:v>
                </c:pt>
                <c:pt idx="4">
                  <c:v>199.46250000000001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13-46FE-8E7A-7C1F59250EDE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0"/>
          <c:separator>
</c:separator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97271034290908"/>
          <c:y val="0.33072438647067876"/>
          <c:w val="0.29745391383270958"/>
          <c:h val="0.618395894229198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</xdr:colOff>
      <xdr:row>14</xdr:row>
      <xdr:rowOff>41910</xdr:rowOff>
    </xdr:from>
    <xdr:to>
      <xdr:col>10</xdr:col>
      <xdr:colOff>733425</xdr:colOff>
      <xdr:row>37</xdr:row>
      <xdr:rowOff>80010</xdr:rowOff>
    </xdr:to>
    <xdr:graphicFrame macro="">
      <xdr:nvGraphicFramePr>
        <xdr:cNvPr id="6147" name="Chart 3">
          <a:extLst>
            <a:ext uri="{FF2B5EF4-FFF2-40B4-BE49-F238E27FC236}">
              <a16:creationId xmlns:a16="http://schemas.microsoft.com/office/drawing/2014/main" id="{9C2CA587-02FD-4F04-B456-FBB011500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6</xdr:row>
      <xdr:rowOff>30480</xdr:rowOff>
    </xdr:from>
    <xdr:to>
      <xdr:col>0</xdr:col>
      <xdr:colOff>2297430</xdr:colOff>
      <xdr:row>6</xdr:row>
      <xdr:rowOff>1699260</xdr:rowOff>
    </xdr:to>
    <xdr:pic>
      <xdr:nvPicPr>
        <xdr:cNvPr id="3074" name="Picture 2" descr="Wanner 2">
          <a:extLst>
            <a:ext uri="{FF2B5EF4-FFF2-40B4-BE49-F238E27FC236}">
              <a16:creationId xmlns:a16="http://schemas.microsoft.com/office/drawing/2014/main" id="{30379981-CC85-49D1-BA46-C2E6E25E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097280"/>
          <a:ext cx="2286000" cy="166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7</xdr:row>
      <xdr:rowOff>53340</xdr:rowOff>
    </xdr:from>
    <xdr:to>
      <xdr:col>1</xdr:col>
      <xdr:colOff>635</xdr:colOff>
      <xdr:row>7</xdr:row>
      <xdr:rowOff>1714500</xdr:rowOff>
    </xdr:to>
    <xdr:pic>
      <xdr:nvPicPr>
        <xdr:cNvPr id="3077" name="Picture 5" descr="Vicar neu">
          <a:extLst>
            <a:ext uri="{FF2B5EF4-FFF2-40B4-BE49-F238E27FC236}">
              <a16:creationId xmlns:a16="http://schemas.microsoft.com/office/drawing/2014/main" id="{A949172F-AC31-4146-AE51-8686D44D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9880"/>
          <a:ext cx="2270760" cy="1661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1714500</xdr:rowOff>
    </xdr:from>
    <xdr:to>
      <xdr:col>0</xdr:col>
      <xdr:colOff>2285622</xdr:colOff>
      <xdr:row>9</xdr:row>
      <xdr:rowOff>0</xdr:rowOff>
    </xdr:to>
    <xdr:pic>
      <xdr:nvPicPr>
        <xdr:cNvPr id="3082" name="Picture 10">
          <a:extLst>
            <a:ext uri="{FF2B5EF4-FFF2-40B4-BE49-F238E27FC236}">
              <a16:creationId xmlns:a16="http://schemas.microsoft.com/office/drawing/2014/main" id="{CE067843-D7D9-4B73-B0CB-1661B46980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683"/>
        <a:stretch/>
      </xdr:blipFill>
      <xdr:spPr bwMode="auto">
        <a:xfrm>
          <a:off x="0" y="4508500"/>
          <a:ext cx="2285622" cy="138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9</xdr:row>
      <xdr:rowOff>1729740</xdr:rowOff>
    </xdr:to>
    <xdr:pic>
      <xdr:nvPicPr>
        <xdr:cNvPr id="3085" name="Picture 13" descr="Braud Spritzung 04">
          <a:extLst>
            <a:ext uri="{FF2B5EF4-FFF2-40B4-BE49-F238E27FC236}">
              <a16:creationId xmlns:a16="http://schemas.microsoft.com/office/drawing/2014/main" id="{640E0614-5E3C-420F-8599-1B440E1A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6020"/>
          <a:ext cx="2362200" cy="1729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76375" cy="1838325"/>
    <xdr:pic>
      <xdr:nvPicPr>
        <xdr:cNvPr id="7" name="Picture 1">
          <a:extLst>
            <a:ext uri="{FF2B5EF4-FFF2-40B4-BE49-F238E27FC236}">
              <a16:creationId xmlns:a16="http://schemas.microsoft.com/office/drawing/2014/main" id="{5CF7ED26-7980-4122-852A-C52AE9E9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0" y="0"/>
          <a:ext cx="1476375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76375" cy="1838325"/>
    <xdr:pic>
      <xdr:nvPicPr>
        <xdr:cNvPr id="2" name="Picture 1">
          <a:extLst>
            <a:ext uri="{FF2B5EF4-FFF2-40B4-BE49-F238E27FC236}">
              <a16:creationId xmlns:a16="http://schemas.microsoft.com/office/drawing/2014/main" id="{7F0637D1-06AB-40BB-8359-1DA156C9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37" r="23137"/>
        <a:stretch/>
      </xdr:blipFill>
      <xdr:spPr bwMode="auto">
        <a:xfrm>
          <a:off x="0" y="0"/>
          <a:ext cx="1476375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workbookViewId="0">
      <selection activeCell="B6" sqref="B6"/>
    </sheetView>
  </sheetViews>
  <sheetFormatPr baseColWidth="10" defaultRowHeight="12.75" x14ac:dyDescent="0.2"/>
  <cols>
    <col min="1" max="1" width="42.140625" customWidth="1"/>
    <col min="2" max="2" width="22.42578125" customWidth="1"/>
    <col min="3" max="3" width="14.42578125" customWidth="1"/>
    <col min="5" max="5" width="13.28515625" customWidth="1"/>
    <col min="6" max="6" width="13.5703125" customWidth="1"/>
  </cols>
  <sheetData>
    <row r="1" spans="1:6" ht="52.5" customHeight="1" x14ac:dyDescent="0.35">
      <c r="A1" s="88" t="s">
        <v>119</v>
      </c>
      <c r="B1" s="89"/>
      <c r="C1" s="89"/>
    </row>
    <row r="2" spans="1:6" s="7" customFormat="1" ht="47.25" customHeight="1" x14ac:dyDescent="0.2">
      <c r="A2" s="11" t="s">
        <v>64</v>
      </c>
      <c r="B2" s="48" t="s">
        <v>59</v>
      </c>
      <c r="C2" s="48" t="s">
        <v>38</v>
      </c>
    </row>
    <row r="3" spans="1:6" s="7" customFormat="1" x14ac:dyDescent="0.2">
      <c r="A3" s="12" t="s">
        <v>50</v>
      </c>
      <c r="B3" s="12"/>
      <c r="C3" s="12"/>
    </row>
    <row r="4" spans="1:6" s="7" customFormat="1" x14ac:dyDescent="0.2">
      <c r="A4" s="12" t="s">
        <v>51</v>
      </c>
      <c r="B4" s="13"/>
      <c r="C4" s="13">
        <f>'Mittelkosten 2025'!S14</f>
        <v>1381.7904549999998</v>
      </c>
    </row>
    <row r="5" spans="1:6" x14ac:dyDescent="0.2">
      <c r="A5" s="14" t="s">
        <v>52</v>
      </c>
      <c r="B5" s="13" t="s">
        <v>53</v>
      </c>
      <c r="C5" s="13">
        <f>'Mittelkosten 2025'!S16</f>
        <v>16.64</v>
      </c>
      <c r="D5" s="8"/>
      <c r="E5" s="8"/>
      <c r="F5" s="8"/>
    </row>
    <row r="6" spans="1:6" x14ac:dyDescent="0.2">
      <c r="A6" s="60" t="s">
        <v>136</v>
      </c>
      <c r="B6" s="40">
        <f>B17</f>
        <v>20</v>
      </c>
      <c r="C6" s="13">
        <f>B6*B7*B8</f>
        <v>270</v>
      </c>
      <c r="D6" s="8"/>
      <c r="E6" s="8"/>
      <c r="F6" s="8"/>
    </row>
    <row r="7" spans="1:6" x14ac:dyDescent="0.2">
      <c r="A7" s="14" t="s">
        <v>60</v>
      </c>
      <c r="B7" s="41">
        <v>1.5</v>
      </c>
      <c r="C7" s="13"/>
      <c r="D7" s="8"/>
      <c r="E7" s="8"/>
      <c r="F7" s="8"/>
    </row>
    <row r="8" spans="1:6" x14ac:dyDescent="0.2">
      <c r="A8" s="14" t="s">
        <v>55</v>
      </c>
      <c r="B8" s="41">
        <v>9</v>
      </c>
      <c r="C8" s="13"/>
      <c r="D8" s="8"/>
      <c r="E8" s="8"/>
      <c r="F8" s="8"/>
    </row>
    <row r="9" spans="1:6" x14ac:dyDescent="0.2">
      <c r="A9" s="60" t="s">
        <v>132</v>
      </c>
      <c r="B9" s="15">
        <f>'Kosten Schlepper'!C21</f>
        <v>500</v>
      </c>
      <c r="C9" s="13">
        <f>'Kosten Schlepper'!E26*B7*B8</f>
        <v>805.27499999999998</v>
      </c>
      <c r="D9" s="8"/>
      <c r="E9" s="8"/>
      <c r="F9" s="8"/>
    </row>
    <row r="10" spans="1:6" x14ac:dyDescent="0.2">
      <c r="A10" s="14" t="s">
        <v>56</v>
      </c>
      <c r="B10" s="15" t="s">
        <v>58</v>
      </c>
      <c r="C10" s="13">
        <f>'Kosten Pflanzenschutzgerät'!E26*B7*B8</f>
        <v>199.46250000000001</v>
      </c>
      <c r="D10" s="8"/>
      <c r="E10" s="8"/>
      <c r="F10" s="8"/>
    </row>
    <row r="11" spans="1:6" s="10" customFormat="1" x14ac:dyDescent="0.2">
      <c r="A11" s="16" t="s">
        <v>61</v>
      </c>
      <c r="B11" s="17"/>
      <c r="C11" s="17">
        <f>C12/B8</f>
        <v>297.01866166666667</v>
      </c>
      <c r="D11" s="9"/>
      <c r="E11" s="9"/>
      <c r="F11" s="9"/>
    </row>
    <row r="12" spans="1:6" s="10" customFormat="1" ht="15.75" x14ac:dyDescent="0.25">
      <c r="A12" s="46" t="s">
        <v>57</v>
      </c>
      <c r="B12" s="38"/>
      <c r="C12" s="47">
        <f>SUM(C4:C10)</f>
        <v>2673.1679549999999</v>
      </c>
      <c r="D12" s="9"/>
      <c r="E12" s="9"/>
      <c r="F12" s="9"/>
    </row>
    <row r="13" spans="1:6" x14ac:dyDescent="0.2">
      <c r="B13" s="8"/>
      <c r="C13" s="8"/>
      <c r="E13" s="8"/>
      <c r="F13" s="8"/>
    </row>
    <row r="14" spans="1:6" x14ac:dyDescent="0.2">
      <c r="B14" s="8"/>
      <c r="C14" s="8"/>
      <c r="D14" s="8"/>
      <c r="E14" s="8"/>
      <c r="F14" s="8"/>
    </row>
    <row r="15" spans="1:6" x14ac:dyDescent="0.2">
      <c r="A15" s="61" t="s">
        <v>133</v>
      </c>
      <c r="B15" s="62">
        <v>25</v>
      </c>
      <c r="C15" s="8"/>
      <c r="D15" s="8"/>
      <c r="E15" s="8"/>
      <c r="F15" s="8"/>
    </row>
    <row r="16" spans="1:6" x14ac:dyDescent="0.2">
      <c r="A16" s="61" t="s">
        <v>134</v>
      </c>
      <c r="B16" s="63">
        <v>14.2</v>
      </c>
    </row>
    <row r="17" spans="1:6" x14ac:dyDescent="0.2">
      <c r="A17" s="61" t="s">
        <v>135</v>
      </c>
      <c r="B17" s="63">
        <v>20</v>
      </c>
      <c r="D17" s="8"/>
    </row>
    <row r="20" spans="1:6" x14ac:dyDescent="0.2">
      <c r="E20" s="9"/>
      <c r="F20" s="9"/>
    </row>
    <row r="21" spans="1:6" x14ac:dyDescent="0.2">
      <c r="A21" s="42" t="s">
        <v>113</v>
      </c>
      <c r="B21" s="43"/>
    </row>
    <row r="22" spans="1:6" x14ac:dyDescent="0.2">
      <c r="A22" s="12" t="str">
        <f>A4</f>
        <v>Mittelkosten</v>
      </c>
      <c r="B22" s="13">
        <f>C4</f>
        <v>1381.7904549999998</v>
      </c>
    </row>
    <row r="23" spans="1:6" x14ac:dyDescent="0.2">
      <c r="A23" s="14" t="s">
        <v>52</v>
      </c>
      <c r="B23" s="13">
        <f>C5</f>
        <v>16.64</v>
      </c>
    </row>
    <row r="24" spans="1:6" x14ac:dyDescent="0.2">
      <c r="A24" s="14" t="s">
        <v>54</v>
      </c>
      <c r="B24" s="13">
        <f>C6</f>
        <v>270</v>
      </c>
    </row>
    <row r="25" spans="1:6" x14ac:dyDescent="0.2">
      <c r="A25" s="14" t="s">
        <v>102</v>
      </c>
      <c r="B25" s="13">
        <f>C9</f>
        <v>805.27499999999998</v>
      </c>
    </row>
    <row r="26" spans="1:6" x14ac:dyDescent="0.2">
      <c r="A26" s="14" t="s">
        <v>103</v>
      </c>
      <c r="B26" s="13">
        <f>C10</f>
        <v>199.46250000000001</v>
      </c>
    </row>
    <row r="27" spans="1:6" x14ac:dyDescent="0.2">
      <c r="A27" s="44" t="s">
        <v>57</v>
      </c>
      <c r="B27" s="38">
        <f>SUM(B22:B26)</f>
        <v>2673.1679549999999</v>
      </c>
    </row>
  </sheetData>
  <mergeCells count="1">
    <mergeCell ref="A1:C1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2CE84-C688-48EB-9FC8-DD29AC56FF35}">
  <dimension ref="A1:S40"/>
  <sheetViews>
    <sheetView tabSelected="1" zoomScale="136" zoomScaleNormal="136" workbookViewId="0">
      <selection activeCell="A19" sqref="A19:XFD20"/>
    </sheetView>
  </sheetViews>
  <sheetFormatPr baseColWidth="10" defaultColWidth="11.42578125" defaultRowHeight="11.25" x14ac:dyDescent="0.2"/>
  <cols>
    <col min="1" max="1" width="26.140625" style="76" customWidth="1"/>
    <col min="2" max="2" width="8.85546875" style="76" customWidth="1"/>
    <col min="3" max="3" width="6.7109375" style="76" customWidth="1"/>
    <col min="4" max="4" width="5.7109375" style="76" customWidth="1"/>
    <col min="5" max="8" width="3.28515625" style="76" customWidth="1"/>
    <col min="9" max="9" width="3.5703125" style="76" customWidth="1"/>
    <col min="10" max="10" width="3.140625" style="76" customWidth="1"/>
    <col min="11" max="12" width="7.28515625" style="76" customWidth="1"/>
    <col min="13" max="13" width="8" style="76" customWidth="1"/>
    <col min="14" max="14" width="7.7109375" style="76" customWidth="1"/>
    <col min="15" max="15" width="8.42578125" style="76" customWidth="1"/>
    <col min="16" max="16384" width="11.42578125" style="76"/>
  </cols>
  <sheetData>
    <row r="1" spans="1:19" s="85" customFormat="1" ht="120.75" customHeight="1" x14ac:dyDescent="0.2">
      <c r="A1" s="69" t="s">
        <v>11</v>
      </c>
      <c r="B1" s="70" t="s">
        <v>101</v>
      </c>
      <c r="C1" s="70" t="s">
        <v>5</v>
      </c>
      <c r="D1" s="90" t="s">
        <v>12</v>
      </c>
      <c r="E1" s="91"/>
      <c r="F1" s="91"/>
      <c r="G1" s="91"/>
      <c r="H1" s="91"/>
      <c r="I1" s="92"/>
      <c r="J1" s="92"/>
      <c r="K1" s="93"/>
      <c r="L1" s="90" t="s">
        <v>105</v>
      </c>
      <c r="M1" s="92"/>
      <c r="N1" s="92"/>
      <c r="O1" s="92"/>
      <c r="P1" s="92"/>
      <c r="Q1" s="92"/>
      <c r="R1" s="93"/>
      <c r="S1" s="70" t="s">
        <v>106</v>
      </c>
    </row>
    <row r="2" spans="1:19" s="85" customFormat="1" ht="120.75" customHeight="1" x14ac:dyDescent="0.2">
      <c r="A2" s="71"/>
      <c r="B2" s="71"/>
      <c r="C2" s="71"/>
      <c r="D2" s="71" t="s">
        <v>6</v>
      </c>
      <c r="E2" s="71" t="s">
        <v>7</v>
      </c>
      <c r="F2" s="71" t="s">
        <v>109</v>
      </c>
      <c r="G2" s="71" t="s">
        <v>8</v>
      </c>
      <c r="H2" s="71" t="s">
        <v>138</v>
      </c>
      <c r="I2" s="71" t="s">
        <v>9</v>
      </c>
      <c r="J2" s="71" t="s">
        <v>108</v>
      </c>
      <c r="K2" s="71" t="s">
        <v>10</v>
      </c>
      <c r="L2" s="71" t="s">
        <v>18</v>
      </c>
      <c r="M2" s="71" t="s">
        <v>8</v>
      </c>
      <c r="N2" s="71" t="s">
        <v>9</v>
      </c>
      <c r="O2" s="71" t="s">
        <v>104</v>
      </c>
      <c r="P2" s="71" t="s">
        <v>111</v>
      </c>
      <c r="Q2" s="71" t="s">
        <v>107</v>
      </c>
      <c r="R2" s="71" t="s">
        <v>19</v>
      </c>
      <c r="S2" s="71"/>
    </row>
    <row r="3" spans="1:19" x14ac:dyDescent="0.2">
      <c r="A3" s="72" t="s">
        <v>10</v>
      </c>
      <c r="B3" s="73"/>
      <c r="C3" s="73">
        <v>1</v>
      </c>
      <c r="D3" s="72"/>
      <c r="E3" s="72"/>
      <c r="F3" s="74"/>
      <c r="G3" s="72"/>
      <c r="H3" s="72"/>
      <c r="I3" s="72"/>
      <c r="J3" s="72"/>
      <c r="K3" s="72">
        <v>1</v>
      </c>
      <c r="L3" s="75"/>
      <c r="M3" s="75"/>
      <c r="N3" s="75"/>
      <c r="O3" s="75" t="s">
        <v>137</v>
      </c>
      <c r="Q3" s="75">
        <v>100</v>
      </c>
      <c r="R3" s="75">
        <v>300</v>
      </c>
      <c r="S3" s="75">
        <f>(R3*K3+Q3*J3+M3*H3+L3*E3+L3*D3)*C3-Q3</f>
        <v>200</v>
      </c>
    </row>
    <row r="4" spans="1:19" x14ac:dyDescent="0.2">
      <c r="A4" s="72" t="s">
        <v>0</v>
      </c>
      <c r="B4" s="73" t="s">
        <v>13</v>
      </c>
      <c r="C4" s="73">
        <v>1</v>
      </c>
      <c r="D4" s="73">
        <v>1</v>
      </c>
      <c r="E4" s="73"/>
      <c r="F4" s="77"/>
      <c r="G4" s="73">
        <v>1</v>
      </c>
      <c r="H4" s="73"/>
      <c r="I4" s="73"/>
      <c r="J4" s="73"/>
      <c r="K4" s="73"/>
      <c r="L4" s="78">
        <v>6.1070799999999998</v>
      </c>
      <c r="M4" s="78">
        <v>11.067</v>
      </c>
      <c r="N4" s="78"/>
      <c r="O4" s="78"/>
      <c r="P4" s="78"/>
      <c r="Q4" s="78"/>
      <c r="R4" s="78"/>
      <c r="S4" s="75">
        <f>C4*D4*L4+C4*E4*L4+F4*O4+C4*G4*M4+H4*P4+C4*I4*N4+J4*Q4</f>
        <v>17.17408</v>
      </c>
    </row>
    <row r="5" spans="1:19" x14ac:dyDescent="0.2">
      <c r="A5" s="72" t="s">
        <v>1</v>
      </c>
      <c r="B5" s="73" t="s">
        <v>14</v>
      </c>
      <c r="C5" s="73">
        <v>2</v>
      </c>
      <c r="D5" s="73">
        <v>1</v>
      </c>
      <c r="E5" s="73"/>
      <c r="F5" s="77"/>
      <c r="G5" s="73">
        <v>1</v>
      </c>
      <c r="H5" s="79">
        <v>3.6</v>
      </c>
      <c r="I5" s="73"/>
      <c r="J5" s="73">
        <v>2.5</v>
      </c>
      <c r="K5" s="73"/>
      <c r="L5" s="78">
        <v>6.1070799999999998</v>
      </c>
      <c r="M5" s="78">
        <v>10.465454999999999</v>
      </c>
      <c r="N5" s="78"/>
      <c r="O5" s="78"/>
      <c r="P5" s="78">
        <v>2.2134</v>
      </c>
      <c r="Q5" s="78">
        <v>9.73</v>
      </c>
      <c r="R5" s="78"/>
      <c r="S5" s="75">
        <f t="shared" ref="S5:S12" si="0">C5*D5*L5+C5*E5*L5+F5*O5+C5*G5*M5+H5*P5+C5*I5*N5+J5*Q5</f>
        <v>65.438310000000001</v>
      </c>
    </row>
    <row r="6" spans="1:19" x14ac:dyDescent="0.2">
      <c r="A6" s="72" t="s">
        <v>139</v>
      </c>
      <c r="B6" s="73" t="s">
        <v>14</v>
      </c>
      <c r="C6" s="73">
        <v>2</v>
      </c>
      <c r="D6" s="73"/>
      <c r="E6" s="73">
        <v>1</v>
      </c>
      <c r="F6" s="77">
        <v>2</v>
      </c>
      <c r="G6" s="73">
        <v>1</v>
      </c>
      <c r="H6" s="79">
        <v>3.6</v>
      </c>
      <c r="I6" s="73"/>
      <c r="J6" s="73">
        <v>2.5</v>
      </c>
      <c r="K6" s="73"/>
      <c r="L6" s="78">
        <v>22.044749999999997</v>
      </c>
      <c r="M6" s="78">
        <v>12.29865</v>
      </c>
      <c r="N6" s="78"/>
      <c r="O6" s="78">
        <v>14.28</v>
      </c>
      <c r="P6" s="78">
        <v>2.2134</v>
      </c>
      <c r="Q6" s="78">
        <v>9.73</v>
      </c>
      <c r="R6" s="78"/>
      <c r="S6" s="75">
        <f t="shared" si="0"/>
        <v>129.54003999999998</v>
      </c>
    </row>
    <row r="7" spans="1:19" x14ac:dyDescent="0.2">
      <c r="A7" s="72" t="s">
        <v>2</v>
      </c>
      <c r="B7" s="73" t="s">
        <v>15</v>
      </c>
      <c r="C7" s="73">
        <v>2.5</v>
      </c>
      <c r="D7" s="73"/>
      <c r="E7" s="73">
        <v>1</v>
      </c>
      <c r="F7" s="77"/>
      <c r="G7" s="73">
        <v>1</v>
      </c>
      <c r="H7" s="79"/>
      <c r="I7" s="73"/>
      <c r="J7" s="73"/>
      <c r="K7" s="73"/>
      <c r="L7" s="78">
        <v>21.533049999999999</v>
      </c>
      <c r="M7" s="78">
        <v>29.154999999999998</v>
      </c>
      <c r="N7" s="78"/>
      <c r="O7" s="78"/>
      <c r="P7" s="78"/>
      <c r="Q7" s="78"/>
      <c r="R7" s="78"/>
      <c r="S7" s="75">
        <f t="shared" si="0"/>
        <v>126.720125</v>
      </c>
    </row>
    <row r="8" spans="1:19" x14ac:dyDescent="0.2">
      <c r="A8" s="72" t="s">
        <v>141</v>
      </c>
      <c r="B8" s="73" t="s">
        <v>16</v>
      </c>
      <c r="C8" s="73">
        <v>3</v>
      </c>
      <c r="D8" s="73"/>
      <c r="E8" s="73">
        <v>1</v>
      </c>
      <c r="F8" s="77"/>
      <c r="G8" s="73">
        <v>1</v>
      </c>
      <c r="H8" s="79"/>
      <c r="I8" s="73"/>
      <c r="J8" s="73"/>
      <c r="K8" s="73"/>
      <c r="L8" s="78">
        <v>24.454499999999999</v>
      </c>
      <c r="M8" s="78">
        <v>12.876989999999997</v>
      </c>
      <c r="N8" s="78"/>
      <c r="O8" s="78"/>
      <c r="P8" s="78"/>
      <c r="Q8" s="78"/>
      <c r="R8" s="78"/>
      <c r="S8" s="75">
        <f t="shared" si="0"/>
        <v>111.99446999999999</v>
      </c>
    </row>
    <row r="9" spans="1:19" x14ac:dyDescent="0.2">
      <c r="A9" s="72" t="s">
        <v>21</v>
      </c>
      <c r="B9" s="73" t="s">
        <v>16</v>
      </c>
      <c r="C9" s="73">
        <v>3.5</v>
      </c>
      <c r="D9" s="73"/>
      <c r="E9" s="73">
        <v>1</v>
      </c>
      <c r="F9" s="77"/>
      <c r="G9" s="73">
        <v>1</v>
      </c>
      <c r="H9" s="79"/>
      <c r="I9" s="73"/>
      <c r="J9" s="73"/>
      <c r="K9" s="73"/>
      <c r="L9" s="78">
        <v>33.439</v>
      </c>
      <c r="M9" s="78">
        <v>43.732499999999995</v>
      </c>
      <c r="N9" s="78"/>
      <c r="O9" s="78"/>
      <c r="P9" s="78"/>
      <c r="Q9" s="78"/>
      <c r="R9" s="78"/>
      <c r="S9" s="75">
        <f t="shared" si="0"/>
        <v>270.10024999999996</v>
      </c>
    </row>
    <row r="10" spans="1:19" x14ac:dyDescent="0.2">
      <c r="A10" s="72" t="s">
        <v>3</v>
      </c>
      <c r="B10" s="73" t="s">
        <v>17</v>
      </c>
      <c r="C10" s="73">
        <v>4</v>
      </c>
      <c r="D10" s="73">
        <v>1</v>
      </c>
      <c r="E10" s="73"/>
      <c r="F10" s="77"/>
      <c r="G10" s="73">
        <v>1</v>
      </c>
      <c r="H10" s="79">
        <v>3.6</v>
      </c>
      <c r="I10" s="73"/>
      <c r="J10" s="73"/>
      <c r="K10" s="73"/>
      <c r="L10" s="78">
        <v>22.044749999999997</v>
      </c>
      <c r="M10" s="78">
        <v>14.667345000000001</v>
      </c>
      <c r="N10" s="78"/>
      <c r="O10" s="78"/>
      <c r="P10" s="78">
        <f>P5</f>
        <v>2.2134</v>
      </c>
      <c r="Q10" s="78"/>
      <c r="R10" s="78"/>
      <c r="S10" s="75">
        <f t="shared" si="0"/>
        <v>154.81662</v>
      </c>
    </row>
    <row r="11" spans="1:19" x14ac:dyDescent="0.2">
      <c r="A11" s="72" t="s">
        <v>115</v>
      </c>
      <c r="B11" s="73" t="s">
        <v>17</v>
      </c>
      <c r="C11" s="73">
        <v>4</v>
      </c>
      <c r="D11" s="73">
        <v>1</v>
      </c>
      <c r="E11" s="73"/>
      <c r="F11" s="77"/>
      <c r="G11" s="73">
        <v>1</v>
      </c>
      <c r="H11" s="79">
        <v>3.6</v>
      </c>
      <c r="I11" s="73"/>
      <c r="J11" s="73"/>
      <c r="K11" s="73"/>
      <c r="L11" s="78">
        <v>6.1070799999999998</v>
      </c>
      <c r="M11" s="78">
        <v>12.29865</v>
      </c>
      <c r="N11" s="78"/>
      <c r="O11" s="78"/>
      <c r="P11" s="78">
        <f>P5</f>
        <v>2.2134</v>
      </c>
      <c r="Q11" s="78"/>
      <c r="R11" s="78"/>
      <c r="S11" s="75">
        <f t="shared" si="0"/>
        <v>81.591159999999988</v>
      </c>
    </row>
    <row r="12" spans="1:19" x14ac:dyDescent="0.2">
      <c r="A12" s="72" t="s">
        <v>22</v>
      </c>
      <c r="B12" s="73" t="s">
        <v>17</v>
      </c>
      <c r="C12" s="73">
        <v>4</v>
      </c>
      <c r="D12" s="73">
        <v>1</v>
      </c>
      <c r="E12" s="73"/>
      <c r="F12" s="77"/>
      <c r="G12" s="73"/>
      <c r="H12" s="80">
        <v>5</v>
      </c>
      <c r="I12" s="73"/>
      <c r="J12" s="73">
        <v>20</v>
      </c>
      <c r="K12" s="73"/>
      <c r="L12" s="78">
        <v>22.062600000000003</v>
      </c>
      <c r="M12" s="78">
        <v>4.4839200000000003</v>
      </c>
      <c r="N12" s="78"/>
      <c r="O12" s="78"/>
      <c r="P12" s="78">
        <v>24.632999999999999</v>
      </c>
      <c r="Q12" s="78">
        <v>0.65</v>
      </c>
      <c r="R12" s="78"/>
      <c r="S12" s="75">
        <f t="shared" si="0"/>
        <v>224.41540000000001</v>
      </c>
    </row>
    <row r="13" spans="1:19" x14ac:dyDescent="0.2">
      <c r="A13" s="72"/>
      <c r="B13" s="73"/>
      <c r="C13" s="73"/>
      <c r="D13" s="73"/>
      <c r="E13" s="73"/>
      <c r="F13" s="77"/>
      <c r="G13" s="73"/>
      <c r="H13" s="73"/>
      <c r="I13" s="73"/>
      <c r="J13" s="73"/>
      <c r="K13" s="73"/>
      <c r="L13" s="78"/>
      <c r="M13" s="78"/>
      <c r="N13" s="78"/>
      <c r="O13" s="78"/>
      <c r="P13" s="78"/>
      <c r="Q13" s="78"/>
      <c r="R13" s="78"/>
      <c r="S13" s="72"/>
    </row>
    <row r="14" spans="1:19" x14ac:dyDescent="0.2">
      <c r="A14" s="81" t="s">
        <v>20</v>
      </c>
      <c r="B14" s="82"/>
      <c r="C14" s="82"/>
      <c r="D14" s="82"/>
      <c r="E14" s="82"/>
      <c r="F14" s="83"/>
      <c r="G14" s="82"/>
      <c r="H14" s="82"/>
      <c r="I14" s="82"/>
      <c r="J14" s="82"/>
      <c r="K14" s="82"/>
      <c r="L14" s="83"/>
      <c r="M14" s="83"/>
      <c r="N14" s="83"/>
      <c r="O14" s="83"/>
      <c r="P14" s="83"/>
      <c r="Q14" s="83"/>
      <c r="R14" s="83"/>
      <c r="S14" s="84">
        <f>SUM(S3:S13)</f>
        <v>1381.7904549999998</v>
      </c>
    </row>
    <row r="15" spans="1:19" x14ac:dyDescent="0.2">
      <c r="A15" s="72" t="s">
        <v>62</v>
      </c>
      <c r="B15" s="73">
        <v>2050</v>
      </c>
      <c r="C15" s="78">
        <v>3.2</v>
      </c>
      <c r="D15" s="73"/>
      <c r="E15" s="73"/>
      <c r="F15" s="78"/>
      <c r="G15" s="73"/>
      <c r="H15" s="73"/>
      <c r="I15" s="73"/>
      <c r="J15" s="73"/>
      <c r="K15" s="73"/>
      <c r="L15" s="78"/>
      <c r="M15" s="78"/>
      <c r="N15" s="78"/>
      <c r="O15" s="78"/>
      <c r="P15" s="78"/>
      <c r="Q15" s="78"/>
      <c r="R15" s="78"/>
      <c r="S15" s="75">
        <f>C15/1000*B15</f>
        <v>6.5600000000000005</v>
      </c>
    </row>
    <row r="16" spans="1:19" s="86" customFormat="1" x14ac:dyDescent="0.2">
      <c r="A16" s="72" t="s">
        <v>63</v>
      </c>
      <c r="B16" s="73">
        <v>5200</v>
      </c>
      <c r="C16" s="78">
        <v>3.2</v>
      </c>
      <c r="D16" s="73"/>
      <c r="E16" s="73"/>
      <c r="F16" s="78"/>
      <c r="G16" s="73"/>
      <c r="H16" s="73"/>
      <c r="I16" s="73"/>
      <c r="J16" s="73"/>
      <c r="K16" s="73"/>
      <c r="L16" s="78"/>
      <c r="M16" s="78"/>
      <c r="N16" s="78"/>
      <c r="O16" s="78"/>
      <c r="P16" s="78"/>
      <c r="Q16" s="78"/>
      <c r="R16" s="78"/>
      <c r="S16" s="75">
        <f>C16/1000*B16</f>
        <v>16.64</v>
      </c>
    </row>
    <row r="17" spans="1:19" x14ac:dyDescent="0.2">
      <c r="A17" s="72"/>
      <c r="B17" s="73"/>
      <c r="C17" s="73"/>
      <c r="D17" s="73"/>
      <c r="E17" s="73"/>
      <c r="F17" s="78"/>
      <c r="G17" s="73"/>
      <c r="H17" s="73"/>
      <c r="I17" s="73"/>
      <c r="J17" s="73"/>
      <c r="K17" s="73"/>
      <c r="L17" s="78"/>
      <c r="M17" s="78"/>
      <c r="N17" s="78"/>
      <c r="O17" s="78"/>
      <c r="P17" s="78"/>
      <c r="Q17" s="78"/>
      <c r="R17" s="72"/>
      <c r="S17" s="72"/>
    </row>
    <row r="18" spans="1:19" ht="12.75" x14ac:dyDescent="0.2">
      <c r="A18" s="94" t="s">
        <v>142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6"/>
      <c r="P18" s="96"/>
      <c r="Q18" s="96"/>
      <c r="R18" s="96"/>
      <c r="S18" s="96"/>
    </row>
    <row r="19" spans="1:19" x14ac:dyDescent="0.2">
      <c r="A19" s="76" t="s">
        <v>112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</row>
    <row r="20" spans="1:19" x14ac:dyDescent="0.2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spans="1:19" x14ac:dyDescent="0.2"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</row>
    <row r="22" spans="1:19" x14ac:dyDescent="0.2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1:19" x14ac:dyDescent="0.2"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</row>
    <row r="24" spans="1:19" x14ac:dyDescent="0.2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</row>
    <row r="25" spans="1:19" x14ac:dyDescent="0.2"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</row>
    <row r="26" spans="1:19" x14ac:dyDescent="0.2"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</row>
    <row r="27" spans="1:19" x14ac:dyDescent="0.2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</row>
    <row r="28" spans="1:19" x14ac:dyDescent="0.2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</row>
    <row r="29" spans="1:19" x14ac:dyDescent="0.2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19" x14ac:dyDescent="0.2"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</row>
    <row r="31" spans="1:19" x14ac:dyDescent="0.2"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9" x14ac:dyDescent="0.2"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</row>
    <row r="33" spans="2:11" x14ac:dyDescent="0.2">
      <c r="B33" s="87"/>
      <c r="C33" s="87"/>
      <c r="D33" s="87"/>
      <c r="E33" s="87"/>
      <c r="F33" s="87"/>
      <c r="G33" s="87"/>
      <c r="H33" s="87"/>
      <c r="I33" s="87"/>
      <c r="J33" s="87"/>
      <c r="K33" s="87"/>
    </row>
    <row r="34" spans="2:11" x14ac:dyDescent="0.2">
      <c r="B34" s="87"/>
      <c r="C34" s="87"/>
      <c r="D34" s="87"/>
      <c r="E34" s="87"/>
      <c r="F34" s="87"/>
      <c r="G34" s="87"/>
      <c r="H34" s="87"/>
      <c r="I34" s="87"/>
      <c r="J34" s="87"/>
      <c r="K34" s="87"/>
    </row>
    <row r="35" spans="2:11" x14ac:dyDescent="0.2">
      <c r="B35" s="87"/>
      <c r="C35" s="87"/>
      <c r="D35" s="87"/>
      <c r="E35" s="87"/>
      <c r="F35" s="87"/>
      <c r="G35" s="87"/>
      <c r="H35" s="87"/>
      <c r="I35" s="87"/>
      <c r="J35" s="87"/>
      <c r="K35" s="87"/>
    </row>
    <row r="36" spans="2:11" x14ac:dyDescent="0.2">
      <c r="B36" s="87"/>
      <c r="C36" s="87"/>
      <c r="D36" s="87"/>
      <c r="E36" s="87"/>
      <c r="F36" s="87"/>
      <c r="G36" s="87"/>
      <c r="H36" s="87"/>
      <c r="I36" s="87"/>
      <c r="J36" s="87"/>
      <c r="K36" s="87"/>
    </row>
    <row r="37" spans="2:11" x14ac:dyDescent="0.2">
      <c r="B37" s="87"/>
      <c r="C37" s="87"/>
      <c r="D37" s="87"/>
      <c r="E37" s="87"/>
      <c r="F37" s="87"/>
      <c r="G37" s="87"/>
      <c r="H37" s="87"/>
      <c r="I37" s="87"/>
      <c r="J37" s="87"/>
      <c r="K37" s="87"/>
    </row>
    <row r="38" spans="2:11" x14ac:dyDescent="0.2">
      <c r="B38" s="87"/>
      <c r="C38" s="87"/>
      <c r="D38" s="87"/>
      <c r="E38" s="87"/>
      <c r="F38" s="87"/>
      <c r="G38" s="87"/>
      <c r="H38" s="87"/>
      <c r="I38" s="87"/>
      <c r="J38" s="87"/>
      <c r="K38" s="87"/>
    </row>
    <row r="39" spans="2:11" x14ac:dyDescent="0.2">
      <c r="B39" s="87"/>
      <c r="C39" s="87"/>
      <c r="D39" s="87"/>
      <c r="E39" s="87"/>
      <c r="F39" s="87"/>
      <c r="G39" s="87"/>
      <c r="H39" s="87"/>
      <c r="I39" s="87"/>
      <c r="J39" s="87"/>
      <c r="K39" s="87"/>
    </row>
    <row r="40" spans="2:11" x14ac:dyDescent="0.2">
      <c r="B40" s="87"/>
      <c r="C40" s="87"/>
      <c r="D40" s="87"/>
      <c r="E40" s="87"/>
      <c r="F40" s="87"/>
      <c r="G40" s="87"/>
      <c r="H40" s="87"/>
      <c r="I40" s="87"/>
      <c r="J40" s="87"/>
      <c r="K40" s="87"/>
    </row>
  </sheetData>
  <mergeCells count="3">
    <mergeCell ref="D1:K1"/>
    <mergeCell ref="L1:R1"/>
    <mergeCell ref="A18:S18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10"/>
  <sheetViews>
    <sheetView zoomScale="75" workbookViewId="0">
      <selection activeCell="C10" sqref="A1:C10"/>
    </sheetView>
  </sheetViews>
  <sheetFormatPr baseColWidth="10" defaultRowHeight="12.75" x14ac:dyDescent="0.2"/>
  <cols>
    <col min="1" max="1" width="34.42578125" customWidth="1"/>
    <col min="2" max="2" width="17.85546875" customWidth="1"/>
  </cols>
  <sheetData>
    <row r="2" spans="1:3" x14ac:dyDescent="0.2">
      <c r="A2" t="s">
        <v>30</v>
      </c>
    </row>
    <row r="3" spans="1:3" x14ac:dyDescent="0.2">
      <c r="A3" s="5" t="s">
        <v>23</v>
      </c>
    </row>
    <row r="4" spans="1:3" x14ac:dyDescent="0.2">
      <c r="A4" s="5" t="s">
        <v>24</v>
      </c>
    </row>
    <row r="5" spans="1:3" x14ac:dyDescent="0.2">
      <c r="A5" s="5" t="s">
        <v>25</v>
      </c>
    </row>
    <row r="6" spans="1:3" ht="18" customHeight="1" x14ac:dyDescent="0.2">
      <c r="A6" s="5"/>
      <c r="B6" t="s">
        <v>26</v>
      </c>
    </row>
    <row r="7" spans="1:3" ht="136.5" customHeight="1" x14ac:dyDescent="0.2">
      <c r="B7" s="6" t="s">
        <v>27</v>
      </c>
      <c r="C7" s="6" t="s">
        <v>28</v>
      </c>
    </row>
    <row r="8" spans="1:3" ht="136.5" customHeight="1" x14ac:dyDescent="0.2">
      <c r="B8" s="6" t="s">
        <v>29</v>
      </c>
      <c r="C8" s="6" t="s">
        <v>32</v>
      </c>
    </row>
    <row r="9" spans="1:3" ht="107.25" customHeight="1" x14ac:dyDescent="0.2">
      <c r="B9" s="6" t="s">
        <v>31</v>
      </c>
      <c r="C9" s="6" t="s">
        <v>33</v>
      </c>
    </row>
    <row r="10" spans="1:3" ht="136.5" customHeight="1" x14ac:dyDescent="0.2">
      <c r="B10" s="6" t="s">
        <v>34</v>
      </c>
      <c r="C10" s="6" t="s">
        <v>35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workbookViewId="0">
      <selection activeCell="E26" sqref="E26"/>
    </sheetView>
  </sheetViews>
  <sheetFormatPr baseColWidth="10" defaultRowHeight="12.75" x14ac:dyDescent="0.2"/>
  <cols>
    <col min="1" max="6" width="22.5703125" customWidth="1"/>
  </cols>
  <sheetData>
    <row r="1" spans="1:5" s="7" customFormat="1" ht="146.25" customHeight="1" x14ac:dyDescent="0.2">
      <c r="A1" s="12"/>
      <c r="B1" s="39" t="s">
        <v>48</v>
      </c>
      <c r="C1" s="39" t="s">
        <v>38</v>
      </c>
      <c r="D1" s="39" t="s">
        <v>44</v>
      </c>
      <c r="E1" s="39" t="s">
        <v>120</v>
      </c>
    </row>
    <row r="2" spans="1:5" s="7" customFormat="1" x14ac:dyDescent="0.2">
      <c r="A2" s="27" t="s">
        <v>40</v>
      </c>
      <c r="B2" s="12"/>
      <c r="C2" s="12"/>
      <c r="D2" s="12"/>
      <c r="E2" s="12"/>
    </row>
    <row r="3" spans="1:5" x14ac:dyDescent="0.2">
      <c r="A3" s="14" t="s">
        <v>36</v>
      </c>
      <c r="B3" s="52">
        <v>135000</v>
      </c>
      <c r="C3" s="13">
        <f>(B3-C4)/B8</f>
        <v>10125</v>
      </c>
      <c r="D3" s="13"/>
      <c r="E3" s="13"/>
    </row>
    <row r="4" spans="1:5" x14ac:dyDescent="0.2">
      <c r="A4" s="14" t="s">
        <v>39</v>
      </c>
      <c r="B4" s="18">
        <v>0.25</v>
      </c>
      <c r="C4" s="53">
        <f>B3*B4</f>
        <v>33750</v>
      </c>
      <c r="D4" s="13"/>
      <c r="E4" s="13"/>
    </row>
    <row r="5" spans="1:5" x14ac:dyDescent="0.2">
      <c r="A5" s="14" t="s">
        <v>37</v>
      </c>
      <c r="B5" s="18">
        <v>0.05</v>
      </c>
      <c r="C5" s="13">
        <f>B3*B5</f>
        <v>6750</v>
      </c>
      <c r="D5" s="13"/>
      <c r="E5" s="13"/>
    </row>
    <row r="6" spans="1:5" x14ac:dyDescent="0.2">
      <c r="A6" s="14" t="s">
        <v>49</v>
      </c>
      <c r="B6" s="18">
        <v>0.01</v>
      </c>
      <c r="C6" s="13">
        <f>B3*B6</f>
        <v>1350</v>
      </c>
      <c r="D6" s="13"/>
      <c r="E6" s="13"/>
    </row>
    <row r="7" spans="1:5" x14ac:dyDescent="0.2">
      <c r="A7" s="14" t="s">
        <v>121</v>
      </c>
      <c r="B7" s="18">
        <v>5.0000000000000001E-3</v>
      </c>
      <c r="C7" s="13">
        <f>B3*B7</f>
        <v>675</v>
      </c>
      <c r="D7" s="13"/>
      <c r="E7" s="13"/>
    </row>
    <row r="8" spans="1:5" x14ac:dyDescent="0.2">
      <c r="A8" s="12" t="s">
        <v>122</v>
      </c>
      <c r="B8" s="54">
        <v>10</v>
      </c>
      <c r="D8" s="13"/>
      <c r="E8" s="13"/>
    </row>
    <row r="9" spans="1:5" ht="15.75" x14ac:dyDescent="0.25">
      <c r="A9" s="16" t="s">
        <v>41</v>
      </c>
      <c r="B9" s="13"/>
      <c r="C9" s="13">
        <f>SUM(C5:C8)+C3</f>
        <v>18900</v>
      </c>
      <c r="D9" s="13"/>
      <c r="E9" s="55">
        <f>C9/(B17+B19*B20)</f>
        <v>37.799999999999997</v>
      </c>
    </row>
    <row r="10" spans="1:5" x14ac:dyDescent="0.2">
      <c r="A10" s="14"/>
      <c r="B10" s="13"/>
      <c r="C10" s="13"/>
      <c r="D10" s="13"/>
      <c r="E10" s="13"/>
    </row>
    <row r="11" spans="1:5" x14ac:dyDescent="0.2">
      <c r="A11" s="16" t="s">
        <v>42</v>
      </c>
      <c r="B11" s="13" t="s">
        <v>123</v>
      </c>
      <c r="C11" s="13"/>
      <c r="D11" s="14"/>
      <c r="E11" s="13"/>
    </row>
    <row r="12" spans="1:5" x14ac:dyDescent="0.2">
      <c r="A12" s="14" t="s">
        <v>43</v>
      </c>
      <c r="B12" s="13"/>
      <c r="C12" s="13"/>
      <c r="D12" s="56">
        <v>13</v>
      </c>
      <c r="E12" s="13"/>
    </row>
    <row r="13" spans="1:5" x14ac:dyDescent="0.2">
      <c r="A13" s="14" t="s">
        <v>45</v>
      </c>
      <c r="B13" s="13"/>
      <c r="C13" s="13"/>
      <c r="D13" s="56">
        <v>0.4</v>
      </c>
      <c r="E13" s="13"/>
    </row>
    <row r="14" spans="1:5" x14ac:dyDescent="0.2">
      <c r="A14" s="14" t="s">
        <v>46</v>
      </c>
      <c r="B14" s="13"/>
      <c r="C14" s="13"/>
      <c r="D14" s="56">
        <v>8.4499999999999993</v>
      </c>
      <c r="E14" s="13"/>
    </row>
    <row r="15" spans="1:5" x14ac:dyDescent="0.2">
      <c r="A15" s="14"/>
      <c r="B15" s="14"/>
      <c r="C15" s="14"/>
      <c r="D15" s="14"/>
      <c r="E15" s="14"/>
    </row>
    <row r="16" spans="1:5" x14ac:dyDescent="0.2">
      <c r="A16" s="16" t="s">
        <v>124</v>
      </c>
      <c r="B16" s="14"/>
      <c r="C16" s="14"/>
      <c r="D16" s="14"/>
      <c r="E16" s="14"/>
    </row>
    <row r="17" spans="1:5" x14ac:dyDescent="0.2">
      <c r="A17" s="14" t="s">
        <v>125</v>
      </c>
      <c r="B17" s="54">
        <v>500</v>
      </c>
      <c r="C17" s="14"/>
      <c r="D17" s="14"/>
      <c r="E17" s="14"/>
    </row>
    <row r="18" spans="1:5" ht="12.75" customHeight="1" x14ac:dyDescent="0.2">
      <c r="A18" s="14" t="s">
        <v>126</v>
      </c>
      <c r="B18" s="57" t="s">
        <v>127</v>
      </c>
      <c r="C18" s="14"/>
      <c r="D18" s="14"/>
      <c r="E18" s="14"/>
    </row>
    <row r="19" spans="1:5" x14ac:dyDescent="0.2">
      <c r="A19" s="14" t="s">
        <v>128</v>
      </c>
      <c r="B19" s="54">
        <v>0</v>
      </c>
      <c r="C19" s="14"/>
      <c r="D19" s="14"/>
      <c r="E19" s="14"/>
    </row>
    <row r="20" spans="1:5" x14ac:dyDescent="0.2">
      <c r="A20" s="14" t="s">
        <v>129</v>
      </c>
      <c r="B20" s="54">
        <v>0</v>
      </c>
      <c r="C20" s="14"/>
      <c r="D20" s="14"/>
      <c r="E20" s="14"/>
    </row>
    <row r="21" spans="1:5" x14ac:dyDescent="0.2">
      <c r="A21" s="14" t="s">
        <v>130</v>
      </c>
      <c r="B21" s="14">
        <v>0</v>
      </c>
      <c r="C21" s="43">
        <f>B17+B19*B20</f>
        <v>500</v>
      </c>
      <c r="D21" s="14"/>
      <c r="E21" s="14"/>
    </row>
    <row r="22" spans="1:5" x14ac:dyDescent="0.2">
      <c r="A22" s="14"/>
      <c r="B22" s="14"/>
      <c r="C22" s="14"/>
      <c r="D22" s="14"/>
      <c r="E22" s="14"/>
    </row>
    <row r="23" spans="1:5" ht="15.75" x14ac:dyDescent="0.25">
      <c r="A23" s="16" t="s">
        <v>47</v>
      </c>
      <c r="B23" s="14"/>
      <c r="C23" s="14"/>
      <c r="D23" s="58">
        <f>SUM(D12:D15)</f>
        <v>21.85</v>
      </c>
      <c r="E23" s="14"/>
    </row>
    <row r="24" spans="1:5" x14ac:dyDescent="0.2">
      <c r="A24" s="14"/>
      <c r="B24" s="14"/>
      <c r="C24" s="14"/>
      <c r="D24" s="14"/>
      <c r="E24" s="14"/>
    </row>
    <row r="25" spans="1:5" ht="12.75" customHeight="1" x14ac:dyDescent="0.2">
      <c r="A25" s="97" t="s">
        <v>131</v>
      </c>
      <c r="B25" s="98"/>
      <c r="C25" s="98"/>
      <c r="D25" s="99"/>
      <c r="E25" s="14"/>
    </row>
    <row r="26" spans="1:5" ht="20.25" x14ac:dyDescent="0.3">
      <c r="A26" s="100"/>
      <c r="B26" s="101"/>
      <c r="C26" s="101"/>
      <c r="D26" s="102"/>
      <c r="E26" s="59">
        <f>E9+D23</f>
        <v>59.65</v>
      </c>
    </row>
    <row r="40" ht="12.75" customHeight="1" x14ac:dyDescent="0.2"/>
  </sheetData>
  <mergeCells count="1">
    <mergeCell ref="A25:D26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5966-82E9-40D1-8EBB-2AF81012C606}">
  <dimension ref="A1:J40"/>
  <sheetViews>
    <sheetView workbookViewId="0">
      <selection activeCell="E26" sqref="E26"/>
    </sheetView>
  </sheetViews>
  <sheetFormatPr baseColWidth="10" defaultRowHeight="12.75" x14ac:dyDescent="0.2"/>
  <cols>
    <col min="1" max="6" width="22.5703125" customWidth="1"/>
  </cols>
  <sheetData>
    <row r="1" spans="1:10" s="7" customFormat="1" ht="146.25" customHeight="1" x14ac:dyDescent="0.2">
      <c r="A1" s="12"/>
      <c r="B1" s="39" t="s">
        <v>48</v>
      </c>
      <c r="C1" s="39" t="s">
        <v>38</v>
      </c>
      <c r="D1" s="39" t="s">
        <v>44</v>
      </c>
      <c r="E1" s="39" t="s">
        <v>120</v>
      </c>
    </row>
    <row r="2" spans="1:10" s="7" customFormat="1" x14ac:dyDescent="0.2">
      <c r="A2" s="27" t="s">
        <v>40</v>
      </c>
      <c r="B2" s="12"/>
      <c r="C2" s="12"/>
      <c r="D2" s="12"/>
      <c r="E2" s="12"/>
    </row>
    <row r="3" spans="1:10" x14ac:dyDescent="0.2">
      <c r="A3" s="14" t="s">
        <v>36</v>
      </c>
      <c r="B3" s="52">
        <v>18000</v>
      </c>
      <c r="C3" s="13">
        <f>(B3-C4)/B8</f>
        <v>1710</v>
      </c>
      <c r="D3" s="13"/>
      <c r="E3" s="13"/>
    </row>
    <row r="4" spans="1:10" x14ac:dyDescent="0.2">
      <c r="A4" s="14" t="s">
        <v>39</v>
      </c>
      <c r="B4" s="18">
        <v>0.05</v>
      </c>
      <c r="C4" s="53">
        <f>B3*B4</f>
        <v>900</v>
      </c>
      <c r="D4" s="13"/>
      <c r="E4" s="13"/>
    </row>
    <row r="5" spans="1:10" x14ac:dyDescent="0.2">
      <c r="A5" s="14" t="s">
        <v>37</v>
      </c>
      <c r="B5" s="18">
        <v>0.01</v>
      </c>
      <c r="C5" s="13">
        <f>B3*B5</f>
        <v>180</v>
      </c>
      <c r="D5" s="13"/>
      <c r="E5" s="13"/>
    </row>
    <row r="6" spans="1:10" x14ac:dyDescent="0.2">
      <c r="A6" s="14" t="s">
        <v>49</v>
      </c>
      <c r="B6" s="18">
        <v>5.0000000000000001E-3</v>
      </c>
      <c r="C6" s="13">
        <f>B3*B6</f>
        <v>90</v>
      </c>
      <c r="D6" s="13"/>
      <c r="E6" s="13"/>
      <c r="I6" s="13"/>
      <c r="J6" s="13"/>
    </row>
    <row r="7" spans="1:10" x14ac:dyDescent="0.2">
      <c r="A7" s="14" t="s">
        <v>121</v>
      </c>
      <c r="B7" s="18">
        <v>0</v>
      </c>
      <c r="C7" s="13">
        <f>B3*B7</f>
        <v>0</v>
      </c>
      <c r="D7" s="13"/>
      <c r="E7" s="13"/>
      <c r="I7" s="18"/>
      <c r="J7" s="13"/>
    </row>
    <row r="8" spans="1:10" x14ac:dyDescent="0.2">
      <c r="A8" s="12" t="s">
        <v>122</v>
      </c>
      <c r="B8" s="54">
        <v>10</v>
      </c>
      <c r="D8" s="13"/>
      <c r="E8" s="13"/>
      <c r="I8" s="18"/>
      <c r="J8" s="13"/>
    </row>
    <row r="9" spans="1:10" ht="15.75" x14ac:dyDescent="0.25">
      <c r="A9" s="16" t="s">
        <v>41</v>
      </c>
      <c r="B9" s="13"/>
      <c r="C9" s="13">
        <f>SUM(C5:C8)+C3</f>
        <v>1980</v>
      </c>
      <c r="D9" s="13"/>
      <c r="E9" s="55">
        <f>C9/(B17+B19*B20)</f>
        <v>12.375</v>
      </c>
      <c r="I9" s="18"/>
      <c r="J9" s="13"/>
    </row>
    <row r="10" spans="1:10" x14ac:dyDescent="0.2">
      <c r="A10" s="14"/>
      <c r="B10" s="13"/>
      <c r="C10" s="13"/>
      <c r="D10" s="13"/>
      <c r="E10" s="13"/>
      <c r="I10" s="18"/>
      <c r="J10" s="13"/>
    </row>
    <row r="11" spans="1:10" x14ac:dyDescent="0.2">
      <c r="A11" s="16" t="s">
        <v>42</v>
      </c>
      <c r="B11" s="13" t="s">
        <v>123</v>
      </c>
      <c r="C11" s="13"/>
      <c r="D11" s="14"/>
      <c r="E11" s="13"/>
      <c r="I11" s="18"/>
      <c r="J11" s="13"/>
    </row>
    <row r="12" spans="1:10" x14ac:dyDescent="0.2">
      <c r="A12" s="14" t="s">
        <v>43</v>
      </c>
      <c r="B12" s="13"/>
      <c r="C12" s="13"/>
      <c r="D12" s="56">
        <v>0</v>
      </c>
      <c r="E12" s="13"/>
      <c r="I12" s="13"/>
      <c r="J12" s="13"/>
    </row>
    <row r="13" spans="1:10" x14ac:dyDescent="0.2">
      <c r="A13" s="14" t="s">
        <v>45</v>
      </c>
      <c r="B13" s="13"/>
      <c r="C13" s="13"/>
      <c r="D13" s="13">
        <v>0.05</v>
      </c>
      <c r="E13" s="13"/>
    </row>
    <row r="14" spans="1:10" x14ac:dyDescent="0.2">
      <c r="A14" s="14" t="s">
        <v>46</v>
      </c>
      <c r="B14" s="13"/>
      <c r="C14" s="13"/>
      <c r="D14" s="13">
        <v>2.35</v>
      </c>
      <c r="E14" s="13"/>
    </row>
    <row r="15" spans="1:10" x14ac:dyDescent="0.2">
      <c r="A15" s="14"/>
      <c r="B15" s="14"/>
      <c r="C15" s="14"/>
      <c r="D15" s="14"/>
      <c r="E15" s="14"/>
    </row>
    <row r="16" spans="1:10" x14ac:dyDescent="0.2">
      <c r="A16" s="16" t="s">
        <v>124</v>
      </c>
      <c r="B16" s="14"/>
      <c r="C16" s="14"/>
      <c r="D16" s="14"/>
      <c r="E16" s="14"/>
    </row>
    <row r="17" spans="1:5" x14ac:dyDescent="0.2">
      <c r="A17" s="14" t="s">
        <v>125</v>
      </c>
      <c r="B17" s="54">
        <v>160</v>
      </c>
      <c r="C17" s="14"/>
      <c r="D17" s="14"/>
      <c r="E17" s="14"/>
    </row>
    <row r="18" spans="1:5" ht="12.75" customHeight="1" x14ac:dyDescent="0.2">
      <c r="A18" s="14" t="s">
        <v>126</v>
      </c>
      <c r="B18" s="57" t="s">
        <v>127</v>
      </c>
      <c r="C18" s="14"/>
      <c r="D18" s="14"/>
      <c r="E18" s="14"/>
    </row>
    <row r="19" spans="1:5" x14ac:dyDescent="0.2">
      <c r="A19" s="14" t="s">
        <v>128</v>
      </c>
      <c r="B19" s="54">
        <v>0</v>
      </c>
      <c r="C19" s="14"/>
      <c r="D19" s="14"/>
      <c r="E19" s="14"/>
    </row>
    <row r="20" spans="1:5" x14ac:dyDescent="0.2">
      <c r="A20" s="14" t="s">
        <v>129</v>
      </c>
      <c r="B20" s="54">
        <v>0</v>
      </c>
      <c r="C20" s="14"/>
      <c r="D20" s="14"/>
      <c r="E20" s="14"/>
    </row>
    <row r="21" spans="1:5" x14ac:dyDescent="0.2">
      <c r="A21" s="14" t="s">
        <v>130</v>
      </c>
      <c r="B21" s="14">
        <v>0</v>
      </c>
      <c r="C21" s="43">
        <f>B17+B19*B20</f>
        <v>160</v>
      </c>
      <c r="D21" s="14"/>
      <c r="E21" s="14"/>
    </row>
    <row r="22" spans="1:5" x14ac:dyDescent="0.2">
      <c r="A22" s="14"/>
      <c r="B22" s="14"/>
      <c r="C22" s="14"/>
      <c r="D22" s="14"/>
      <c r="E22" s="14"/>
    </row>
    <row r="23" spans="1:5" ht="15.75" x14ac:dyDescent="0.25">
      <c r="A23" s="16" t="s">
        <v>47</v>
      </c>
      <c r="B23" s="14"/>
      <c r="C23" s="14"/>
      <c r="D23" s="58">
        <f>SUM(D12:D15)</f>
        <v>2.4</v>
      </c>
      <c r="E23" s="14"/>
    </row>
    <row r="24" spans="1:5" x14ac:dyDescent="0.2">
      <c r="A24" s="14"/>
      <c r="B24" s="14"/>
      <c r="C24" s="14"/>
      <c r="D24" s="14"/>
      <c r="E24" s="14"/>
    </row>
    <row r="25" spans="1:5" ht="12.75" customHeight="1" x14ac:dyDescent="0.2">
      <c r="A25" s="97" t="s">
        <v>140</v>
      </c>
      <c r="B25" s="98"/>
      <c r="C25" s="98"/>
      <c r="D25" s="99"/>
      <c r="E25" s="14"/>
    </row>
    <row r="26" spans="1:5" ht="20.25" x14ac:dyDescent="0.3">
      <c r="A26" s="100"/>
      <c r="B26" s="101"/>
      <c r="C26" s="101"/>
      <c r="D26" s="102"/>
      <c r="E26" s="59">
        <f>E9+D23</f>
        <v>14.775</v>
      </c>
    </row>
    <row r="40" ht="12.75" customHeight="1" x14ac:dyDescent="0.2"/>
  </sheetData>
  <mergeCells count="1">
    <mergeCell ref="A25:D26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sqref="A1:F12"/>
    </sheetView>
  </sheetViews>
  <sheetFormatPr baseColWidth="10" defaultRowHeight="12.75" x14ac:dyDescent="0.2"/>
  <cols>
    <col min="1" max="1" width="11" bestFit="1" customWidth="1"/>
    <col min="2" max="2" width="32.140625" style="26" bestFit="1" customWidth="1"/>
    <col min="3" max="3" width="15.28515625" style="26" bestFit="1" customWidth="1"/>
    <col min="4" max="4" width="17.140625" style="26" bestFit="1" customWidth="1"/>
    <col min="5" max="5" width="13.7109375" style="26" bestFit="1" customWidth="1"/>
    <col min="6" max="6" width="23.28515625" style="26" bestFit="1" customWidth="1"/>
  </cols>
  <sheetData>
    <row r="1" spans="1:6" ht="15.75" x14ac:dyDescent="0.2">
      <c r="A1" s="103" t="s">
        <v>65</v>
      </c>
      <c r="B1" s="19" t="s">
        <v>66</v>
      </c>
      <c r="C1" s="19" t="s">
        <v>69</v>
      </c>
      <c r="D1" s="19" t="s">
        <v>71</v>
      </c>
      <c r="E1" s="19" t="s">
        <v>74</v>
      </c>
      <c r="F1" s="19" t="s">
        <v>77</v>
      </c>
    </row>
    <row r="2" spans="1:6" ht="15.75" x14ac:dyDescent="0.2">
      <c r="A2" s="104"/>
      <c r="B2" s="20" t="s">
        <v>67</v>
      </c>
      <c r="C2" s="20" t="s">
        <v>70</v>
      </c>
      <c r="D2" s="20" t="s">
        <v>72</v>
      </c>
      <c r="E2" s="20" t="s">
        <v>75</v>
      </c>
      <c r="F2" s="20" t="s">
        <v>78</v>
      </c>
    </row>
    <row r="3" spans="1:6" ht="16.5" thickBot="1" x14ac:dyDescent="0.25">
      <c r="A3" s="105"/>
      <c r="B3" s="21" t="s">
        <v>68</v>
      </c>
      <c r="C3" s="21" t="s">
        <v>65</v>
      </c>
      <c r="D3" s="21" t="s">
        <v>73</v>
      </c>
      <c r="E3" s="21" t="s">
        <v>76</v>
      </c>
      <c r="F3" s="22"/>
    </row>
    <row r="4" spans="1:6" ht="15.75" x14ac:dyDescent="0.2">
      <c r="A4" s="103" t="s">
        <v>79</v>
      </c>
      <c r="B4" s="19">
        <v>67</v>
      </c>
      <c r="C4" s="106" t="s">
        <v>80</v>
      </c>
      <c r="D4" s="106" t="s">
        <v>81</v>
      </c>
      <c r="E4" s="19" t="s">
        <v>82</v>
      </c>
      <c r="F4" s="19" t="s">
        <v>84</v>
      </c>
    </row>
    <row r="5" spans="1:6" ht="15.75" x14ac:dyDescent="0.2">
      <c r="A5" s="104"/>
      <c r="B5" s="23">
        <v>134</v>
      </c>
      <c r="C5" s="107"/>
      <c r="D5" s="107"/>
      <c r="E5" s="23" t="s">
        <v>33</v>
      </c>
      <c r="F5" s="24" t="s">
        <v>85</v>
      </c>
    </row>
    <row r="6" spans="1:6" ht="16.5" thickBot="1" x14ac:dyDescent="0.25">
      <c r="A6" s="105"/>
      <c r="B6" s="25">
        <v>22</v>
      </c>
      <c r="C6" s="108"/>
      <c r="D6" s="108"/>
      <c r="E6" s="25" t="s">
        <v>83</v>
      </c>
      <c r="F6" s="22"/>
    </row>
    <row r="7" spans="1:6" ht="15.75" x14ac:dyDescent="0.2">
      <c r="A7" s="103" t="s">
        <v>86</v>
      </c>
      <c r="B7" s="19">
        <v>50</v>
      </c>
      <c r="C7" s="106" t="s">
        <v>87</v>
      </c>
      <c r="D7" s="106" t="s">
        <v>88</v>
      </c>
      <c r="E7" s="19" t="s">
        <v>89</v>
      </c>
      <c r="F7" s="19" t="s">
        <v>91</v>
      </c>
    </row>
    <row r="8" spans="1:6" ht="15.75" x14ac:dyDescent="0.2">
      <c r="A8" s="104"/>
      <c r="B8" s="23">
        <v>100</v>
      </c>
      <c r="C8" s="107"/>
      <c r="D8" s="107"/>
      <c r="E8" s="23" t="s">
        <v>32</v>
      </c>
      <c r="F8" s="23" t="s">
        <v>92</v>
      </c>
    </row>
    <row r="9" spans="1:6" ht="16.5" thickBot="1" x14ac:dyDescent="0.25">
      <c r="A9" s="105"/>
      <c r="B9" s="21">
        <v>16</v>
      </c>
      <c r="C9" s="108"/>
      <c r="D9" s="108"/>
      <c r="E9" s="25" t="s">
        <v>90</v>
      </c>
      <c r="F9" s="25" t="s">
        <v>28</v>
      </c>
    </row>
    <row r="10" spans="1:6" ht="15.75" x14ac:dyDescent="0.2">
      <c r="A10" s="103" t="s">
        <v>93</v>
      </c>
      <c r="B10" s="19">
        <v>34</v>
      </c>
      <c r="C10" s="106" t="s">
        <v>94</v>
      </c>
      <c r="D10" s="106" t="s">
        <v>95</v>
      </c>
      <c r="E10" s="19" t="s">
        <v>96</v>
      </c>
      <c r="F10" s="19" t="s">
        <v>98</v>
      </c>
    </row>
    <row r="11" spans="1:6" ht="15.75" x14ac:dyDescent="0.2">
      <c r="A11" s="104"/>
      <c r="B11" s="23">
        <v>68</v>
      </c>
      <c r="C11" s="107"/>
      <c r="D11" s="107"/>
      <c r="E11" s="23" t="s">
        <v>82</v>
      </c>
      <c r="F11" s="23" t="s">
        <v>99</v>
      </c>
    </row>
    <row r="12" spans="1:6" ht="16.5" thickBot="1" x14ac:dyDescent="0.25">
      <c r="A12" s="105"/>
      <c r="B12" s="25">
        <v>11</v>
      </c>
      <c r="C12" s="108"/>
      <c r="D12" s="108"/>
      <c r="E12" s="25" t="s">
        <v>97</v>
      </c>
      <c r="F12" s="25" t="s">
        <v>100</v>
      </c>
    </row>
  </sheetData>
  <mergeCells count="10">
    <mergeCell ref="A10:A12"/>
    <mergeCell ref="C10:C12"/>
    <mergeCell ref="D10:D12"/>
    <mergeCell ref="A1:A3"/>
    <mergeCell ref="A4:A6"/>
    <mergeCell ref="C4:C6"/>
    <mergeCell ref="D4:D6"/>
    <mergeCell ref="A7:A9"/>
    <mergeCell ref="C7:C9"/>
    <mergeCell ref="D7:D9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8"/>
  <sheetViews>
    <sheetView topLeftCell="A21" zoomScale="136" zoomScaleNormal="136" workbookViewId="0">
      <selection sqref="A1:XFD16"/>
    </sheetView>
  </sheetViews>
  <sheetFormatPr baseColWidth="10" defaultColWidth="11.42578125" defaultRowHeight="11.25" x14ac:dyDescent="0.2"/>
  <cols>
    <col min="1" max="1" width="26.140625" style="1" customWidth="1"/>
    <col min="2" max="2" width="8.85546875" style="1" customWidth="1"/>
    <col min="3" max="3" width="6.7109375" style="1" customWidth="1"/>
    <col min="4" max="4" width="5.7109375" style="1" customWidth="1"/>
    <col min="5" max="8" width="3.28515625" style="1" customWidth="1"/>
    <col min="9" max="9" width="3.5703125" style="1" customWidth="1"/>
    <col min="10" max="10" width="3.140625" style="1" customWidth="1"/>
    <col min="11" max="12" width="7.28515625" style="1" customWidth="1"/>
    <col min="13" max="13" width="8" style="1" customWidth="1"/>
    <col min="14" max="14" width="7.7109375" style="1" customWidth="1"/>
    <col min="15" max="15" width="8.42578125" style="1" customWidth="1"/>
    <col min="16" max="16384" width="11.42578125" style="1"/>
  </cols>
  <sheetData>
    <row r="1" spans="1:19" s="4" customFormat="1" ht="120.75" customHeight="1" x14ac:dyDescent="0.2">
      <c r="A1" s="35" t="s">
        <v>11</v>
      </c>
      <c r="B1" s="36" t="s">
        <v>101</v>
      </c>
      <c r="C1" s="36" t="s">
        <v>5</v>
      </c>
      <c r="D1" s="114" t="s">
        <v>12</v>
      </c>
      <c r="E1" s="115"/>
      <c r="F1" s="115"/>
      <c r="G1" s="115"/>
      <c r="H1" s="115"/>
      <c r="I1" s="115"/>
      <c r="J1" s="115"/>
      <c r="K1" s="116"/>
      <c r="L1" s="114" t="s">
        <v>105</v>
      </c>
      <c r="M1" s="115"/>
      <c r="N1" s="115"/>
      <c r="O1" s="115"/>
      <c r="P1" s="115"/>
      <c r="Q1" s="115"/>
      <c r="R1" s="116"/>
      <c r="S1" s="36" t="s">
        <v>106</v>
      </c>
    </row>
    <row r="2" spans="1:19" s="4" customFormat="1" ht="120.75" customHeight="1" x14ac:dyDescent="0.2">
      <c r="A2" s="37"/>
      <c r="B2" s="37"/>
      <c r="C2" s="37"/>
      <c r="D2" s="37" t="s">
        <v>6</v>
      </c>
      <c r="E2" s="37" t="s">
        <v>7</v>
      </c>
      <c r="F2" s="37" t="s">
        <v>109</v>
      </c>
      <c r="G2" s="37" t="s">
        <v>8</v>
      </c>
      <c r="H2" s="37" t="s">
        <v>110</v>
      </c>
      <c r="I2" s="37" t="s">
        <v>9</v>
      </c>
      <c r="J2" s="37" t="s">
        <v>108</v>
      </c>
      <c r="K2" s="37" t="s">
        <v>10</v>
      </c>
      <c r="L2" s="37" t="s">
        <v>18</v>
      </c>
      <c r="M2" s="37" t="s">
        <v>8</v>
      </c>
      <c r="N2" s="37" t="s">
        <v>9</v>
      </c>
      <c r="O2" s="37" t="s">
        <v>104</v>
      </c>
      <c r="P2" s="37" t="s">
        <v>111</v>
      </c>
      <c r="Q2" s="37" t="s">
        <v>107</v>
      </c>
      <c r="R2" s="37" t="s">
        <v>19</v>
      </c>
      <c r="S2" s="37"/>
    </row>
    <row r="3" spans="1:19" x14ac:dyDescent="0.2">
      <c r="A3" s="29" t="s">
        <v>10</v>
      </c>
      <c r="B3" s="30"/>
      <c r="C3" s="30">
        <v>1</v>
      </c>
      <c r="D3" s="29"/>
      <c r="E3" s="29"/>
      <c r="F3" s="31"/>
      <c r="G3" s="29"/>
      <c r="H3" s="29"/>
      <c r="I3" s="29"/>
      <c r="J3" s="29"/>
      <c r="K3" s="29">
        <v>1</v>
      </c>
      <c r="L3" s="32"/>
      <c r="M3" s="32"/>
      <c r="N3" s="32"/>
      <c r="O3" s="64" t="s">
        <v>137</v>
      </c>
      <c r="Q3" s="32">
        <v>100</v>
      </c>
      <c r="R3" s="32">
        <v>300</v>
      </c>
      <c r="S3" s="32">
        <f>(R3*K3+Q3*J3+M3*H3+L3*E3+L3*D3)*C3-Q3</f>
        <v>200</v>
      </c>
    </row>
    <row r="4" spans="1:19" x14ac:dyDescent="0.2">
      <c r="A4" s="29" t="s">
        <v>0</v>
      </c>
      <c r="B4" s="30" t="s">
        <v>13</v>
      </c>
      <c r="C4" s="30">
        <v>1</v>
      </c>
      <c r="D4" s="30">
        <v>1</v>
      </c>
      <c r="E4" s="30"/>
      <c r="F4" s="33"/>
      <c r="G4" s="30">
        <v>1</v>
      </c>
      <c r="H4" s="30"/>
      <c r="I4" s="30"/>
      <c r="J4" s="30"/>
      <c r="K4" s="30"/>
      <c r="L4" s="34">
        <v>9.6300000000000008</v>
      </c>
      <c r="M4" s="34">
        <v>5.65</v>
      </c>
      <c r="N4" s="34"/>
      <c r="O4" s="34"/>
      <c r="P4" s="34"/>
      <c r="Q4" s="34"/>
      <c r="R4" s="34"/>
      <c r="S4" s="32">
        <f>C4*D4*L4+C4*E4*L4+F4*O4+C4*G4*M4+H4*P4+C4*I4*N4+J4*Q4</f>
        <v>15.280000000000001</v>
      </c>
    </row>
    <row r="5" spans="1:19" x14ac:dyDescent="0.2">
      <c r="A5" s="29" t="s">
        <v>1</v>
      </c>
      <c r="B5" s="30" t="s">
        <v>14</v>
      </c>
      <c r="C5" s="30">
        <v>2</v>
      </c>
      <c r="D5" s="30">
        <v>1</v>
      </c>
      <c r="E5" s="30"/>
      <c r="F5" s="33">
        <v>2</v>
      </c>
      <c r="G5" s="30">
        <v>1</v>
      </c>
      <c r="H5" s="30">
        <v>1</v>
      </c>
      <c r="I5" s="30"/>
      <c r="J5" s="30">
        <v>2.5</v>
      </c>
      <c r="K5" s="30"/>
      <c r="L5" s="34">
        <v>5.63</v>
      </c>
      <c r="M5" s="34">
        <v>5.65</v>
      </c>
      <c r="N5" s="34"/>
      <c r="O5" s="34">
        <v>15.16</v>
      </c>
      <c r="P5" s="34">
        <v>7.75</v>
      </c>
      <c r="Q5" s="34">
        <v>9.73</v>
      </c>
      <c r="R5" s="34"/>
      <c r="S5" s="32">
        <f t="shared" ref="S5:S10" si="0">C5*D5*L5+C5*E5*L5+F5*O5+C5*G5*M5+H5*P5+C5*I5*N5+J5*Q5</f>
        <v>84.954999999999998</v>
      </c>
    </row>
    <row r="6" spans="1:19" x14ac:dyDescent="0.2">
      <c r="A6" s="29" t="s">
        <v>2</v>
      </c>
      <c r="B6" s="30" t="s">
        <v>15</v>
      </c>
      <c r="C6" s="30">
        <v>2.5</v>
      </c>
      <c r="D6" s="30"/>
      <c r="E6" s="30">
        <v>1</v>
      </c>
      <c r="F6" s="33"/>
      <c r="G6" s="30">
        <v>1</v>
      </c>
      <c r="H6" s="30"/>
      <c r="I6" s="30"/>
      <c r="J6" s="30"/>
      <c r="K6" s="30"/>
      <c r="L6" s="34">
        <v>18.739999999999998</v>
      </c>
      <c r="M6" s="34">
        <v>7.75</v>
      </c>
      <c r="N6" s="34"/>
      <c r="O6" s="34"/>
      <c r="P6" s="34"/>
      <c r="Q6" s="34"/>
      <c r="R6" s="34"/>
      <c r="S6" s="32">
        <f t="shared" si="0"/>
        <v>66.224999999999994</v>
      </c>
    </row>
    <row r="7" spans="1:19" x14ac:dyDescent="0.2">
      <c r="A7" s="29" t="s">
        <v>21</v>
      </c>
      <c r="B7" s="30" t="s">
        <v>16</v>
      </c>
      <c r="C7" s="30">
        <v>3.5</v>
      </c>
      <c r="D7" s="30"/>
      <c r="E7" s="30">
        <v>1</v>
      </c>
      <c r="F7" s="33"/>
      <c r="G7" s="30">
        <v>1</v>
      </c>
      <c r="H7" s="30"/>
      <c r="I7" s="30">
        <v>1</v>
      </c>
      <c r="J7" s="30"/>
      <c r="K7" s="30"/>
      <c r="L7" s="34">
        <v>20.399999999999999</v>
      </c>
      <c r="M7" s="34">
        <v>9.6300000000000008</v>
      </c>
      <c r="N7" s="34">
        <v>33.65</v>
      </c>
      <c r="O7" s="34"/>
      <c r="P7" s="34"/>
      <c r="Q7" s="34"/>
      <c r="R7" s="34"/>
      <c r="S7" s="32">
        <f t="shared" si="0"/>
        <v>222.88</v>
      </c>
    </row>
    <row r="8" spans="1:19" x14ac:dyDescent="0.2">
      <c r="A8" s="29" t="s">
        <v>3</v>
      </c>
      <c r="B8" s="30" t="s">
        <v>17</v>
      </c>
      <c r="C8" s="30">
        <v>4</v>
      </c>
      <c r="D8" s="30">
        <v>1</v>
      </c>
      <c r="E8" s="30"/>
      <c r="F8" s="33">
        <v>4</v>
      </c>
      <c r="G8" s="30">
        <v>1</v>
      </c>
      <c r="H8" s="30"/>
      <c r="I8" s="30"/>
      <c r="J8" s="30"/>
      <c r="K8" s="30"/>
      <c r="L8" s="34">
        <v>5.63</v>
      </c>
      <c r="M8" s="34">
        <v>7.25</v>
      </c>
      <c r="N8" s="34"/>
      <c r="O8" s="34">
        <v>15.16</v>
      </c>
      <c r="P8" s="34"/>
      <c r="Q8" s="34"/>
      <c r="R8" s="34"/>
      <c r="S8" s="32">
        <f t="shared" si="0"/>
        <v>112.16</v>
      </c>
    </row>
    <row r="9" spans="1:19" x14ac:dyDescent="0.2">
      <c r="A9" s="29" t="s">
        <v>4</v>
      </c>
      <c r="B9" s="30" t="s">
        <v>17</v>
      </c>
      <c r="C9" s="30">
        <v>4</v>
      </c>
      <c r="D9" s="30"/>
      <c r="E9" s="30">
        <v>1</v>
      </c>
      <c r="F9" s="33"/>
      <c r="G9" s="30">
        <v>1</v>
      </c>
      <c r="H9" s="30"/>
      <c r="I9" s="30"/>
      <c r="J9" s="30">
        <v>10</v>
      </c>
      <c r="K9" s="30"/>
      <c r="L9" s="34">
        <v>16.920000000000002</v>
      </c>
      <c r="M9" s="34">
        <v>5.48</v>
      </c>
      <c r="N9" s="34"/>
      <c r="O9" s="34"/>
      <c r="P9" s="34"/>
      <c r="Q9" s="34">
        <v>0.65</v>
      </c>
      <c r="R9" s="34"/>
      <c r="S9" s="32">
        <f t="shared" si="0"/>
        <v>96.100000000000009</v>
      </c>
    </row>
    <row r="10" spans="1:19" x14ac:dyDescent="0.2">
      <c r="A10" s="29" t="s">
        <v>22</v>
      </c>
      <c r="B10" s="30" t="s">
        <v>17</v>
      </c>
      <c r="C10" s="30">
        <v>4</v>
      </c>
      <c r="D10" s="30">
        <v>1</v>
      </c>
      <c r="E10" s="30"/>
      <c r="F10" s="33"/>
      <c r="G10" s="30"/>
      <c r="H10" s="30">
        <v>4</v>
      </c>
      <c r="I10" s="30">
        <v>1</v>
      </c>
      <c r="J10" s="30">
        <v>20</v>
      </c>
      <c r="K10" s="30"/>
      <c r="L10" s="34">
        <v>2.88</v>
      </c>
      <c r="M10" s="34"/>
      <c r="N10" s="34">
        <v>39.369999999999997</v>
      </c>
      <c r="O10" s="34"/>
      <c r="P10" s="34">
        <v>12.85</v>
      </c>
      <c r="Q10" s="34">
        <v>0.65</v>
      </c>
      <c r="R10" s="34"/>
      <c r="S10" s="32">
        <f t="shared" si="0"/>
        <v>233.39999999999998</v>
      </c>
    </row>
    <row r="11" spans="1:19" x14ac:dyDescent="0.2">
      <c r="A11" s="29"/>
      <c r="B11" s="30"/>
      <c r="C11" s="30"/>
      <c r="D11" s="30"/>
      <c r="E11" s="30"/>
      <c r="F11" s="33"/>
      <c r="G11" s="30"/>
      <c r="H11" s="30"/>
      <c r="I11" s="30"/>
      <c r="J11" s="30"/>
      <c r="K11" s="30"/>
      <c r="L11" s="34"/>
      <c r="M11" s="34"/>
      <c r="N11" s="34"/>
      <c r="O11" s="34"/>
      <c r="P11" s="34"/>
      <c r="Q11" s="34"/>
      <c r="R11" s="34"/>
      <c r="S11" s="29"/>
    </row>
    <row r="12" spans="1:19" s="3" customFormat="1" x14ac:dyDescent="0.2">
      <c r="A12" s="65" t="s">
        <v>20</v>
      </c>
      <c r="B12" s="66"/>
      <c r="C12" s="66"/>
      <c r="D12" s="66"/>
      <c r="E12" s="66"/>
      <c r="F12" s="67"/>
      <c r="G12" s="66"/>
      <c r="H12" s="66"/>
      <c r="I12" s="66"/>
      <c r="J12" s="66"/>
      <c r="K12" s="66"/>
      <c r="L12" s="67"/>
      <c r="M12" s="67"/>
      <c r="N12" s="67"/>
      <c r="O12" s="67"/>
      <c r="P12" s="67"/>
      <c r="Q12" s="67"/>
      <c r="R12" s="67"/>
      <c r="S12" s="68">
        <f>SUM(S3:S11)</f>
        <v>1031</v>
      </c>
    </row>
    <row r="13" spans="1:19" x14ac:dyDescent="0.2">
      <c r="A13" s="29" t="s">
        <v>62</v>
      </c>
      <c r="B13" s="30">
        <v>2050</v>
      </c>
      <c r="C13" s="34">
        <v>3.2</v>
      </c>
      <c r="D13" s="30"/>
      <c r="E13" s="30"/>
      <c r="F13" s="34"/>
      <c r="G13" s="30"/>
      <c r="H13" s="30"/>
      <c r="I13" s="30"/>
      <c r="J13" s="30"/>
      <c r="K13" s="30"/>
      <c r="L13" s="34"/>
      <c r="M13" s="34"/>
      <c r="N13" s="34"/>
      <c r="O13" s="34"/>
      <c r="P13" s="34"/>
      <c r="Q13" s="34"/>
      <c r="R13" s="34"/>
      <c r="S13" s="32">
        <f>C13/1000*B13</f>
        <v>6.5600000000000005</v>
      </c>
    </row>
    <row r="14" spans="1:19" x14ac:dyDescent="0.2">
      <c r="A14" s="29" t="s">
        <v>63</v>
      </c>
      <c r="B14" s="30">
        <v>5200</v>
      </c>
      <c r="C14" s="34">
        <v>3.2</v>
      </c>
      <c r="D14" s="30"/>
      <c r="E14" s="30"/>
      <c r="F14" s="34"/>
      <c r="G14" s="30"/>
      <c r="H14" s="30"/>
      <c r="I14" s="30"/>
      <c r="J14" s="30"/>
      <c r="K14" s="30"/>
      <c r="L14" s="34"/>
      <c r="M14" s="34"/>
      <c r="N14" s="34"/>
      <c r="O14" s="34"/>
      <c r="P14" s="34"/>
      <c r="Q14" s="34"/>
      <c r="R14" s="34"/>
      <c r="S14" s="32">
        <f>C14/1000*B14</f>
        <v>16.64</v>
      </c>
    </row>
    <row r="15" spans="1:19" x14ac:dyDescent="0.2">
      <c r="A15" s="29"/>
      <c r="B15" s="30"/>
      <c r="C15" s="30"/>
      <c r="D15" s="30"/>
      <c r="E15" s="30"/>
      <c r="F15" s="34"/>
      <c r="G15" s="30"/>
      <c r="H15" s="30"/>
      <c r="I15" s="30"/>
      <c r="J15" s="30"/>
      <c r="K15" s="30"/>
      <c r="L15" s="34"/>
      <c r="M15" s="34"/>
      <c r="N15" s="34"/>
      <c r="O15" s="34"/>
      <c r="P15" s="34"/>
      <c r="Q15" s="34"/>
      <c r="R15" s="29"/>
      <c r="S15" s="29"/>
    </row>
    <row r="16" spans="1:19" x14ac:dyDescent="0.2">
      <c r="A16" s="112" t="s">
        <v>117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</row>
    <row r="17" spans="1:19" x14ac:dyDescent="0.2">
      <c r="A17" s="28" t="s">
        <v>112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9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9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9" ht="30" x14ac:dyDescent="0.4">
      <c r="A20" s="50" t="s">
        <v>118</v>
      </c>
      <c r="B20" s="5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9" s="4" customFormat="1" ht="120.75" customHeight="1" x14ac:dyDescent="0.2">
      <c r="A21" s="35" t="s">
        <v>11</v>
      </c>
      <c r="B21" s="36" t="s">
        <v>101</v>
      </c>
      <c r="C21" s="36" t="s">
        <v>5</v>
      </c>
      <c r="D21" s="114" t="s">
        <v>12</v>
      </c>
      <c r="E21" s="115"/>
      <c r="F21" s="115"/>
      <c r="G21" s="115"/>
      <c r="H21" s="115"/>
      <c r="I21" s="117"/>
      <c r="J21" s="117"/>
      <c r="K21" s="118"/>
      <c r="L21" s="114" t="s">
        <v>105</v>
      </c>
      <c r="M21" s="117"/>
      <c r="N21" s="117"/>
      <c r="O21" s="117"/>
      <c r="P21" s="117"/>
      <c r="Q21" s="117"/>
      <c r="R21" s="118"/>
      <c r="S21" s="36" t="s">
        <v>106</v>
      </c>
    </row>
    <row r="22" spans="1:19" s="4" customFormat="1" ht="120.75" customHeight="1" x14ac:dyDescent="0.2">
      <c r="A22" s="45" t="s">
        <v>114</v>
      </c>
      <c r="B22" s="37"/>
      <c r="C22" s="37"/>
      <c r="D22" s="37" t="s">
        <v>6</v>
      </c>
      <c r="E22" s="37" t="s">
        <v>7</v>
      </c>
      <c r="F22" s="37" t="s">
        <v>109</v>
      </c>
      <c r="G22" s="37" t="s">
        <v>8</v>
      </c>
      <c r="H22" s="37" t="s">
        <v>110</v>
      </c>
      <c r="I22" s="37" t="s">
        <v>9</v>
      </c>
      <c r="J22" s="37" t="s">
        <v>108</v>
      </c>
      <c r="K22" s="37" t="s">
        <v>10</v>
      </c>
      <c r="L22" s="37" t="s">
        <v>18</v>
      </c>
      <c r="M22" s="37" t="s">
        <v>8</v>
      </c>
      <c r="N22" s="37" t="s">
        <v>9</v>
      </c>
      <c r="O22" s="37" t="s">
        <v>104</v>
      </c>
      <c r="P22" s="37" t="s">
        <v>111</v>
      </c>
      <c r="Q22" s="37" t="s">
        <v>107</v>
      </c>
      <c r="R22" s="37" t="s">
        <v>19</v>
      </c>
      <c r="S22" s="37"/>
    </row>
    <row r="23" spans="1:19" x14ac:dyDescent="0.2">
      <c r="A23" s="29" t="s">
        <v>10</v>
      </c>
      <c r="B23" s="30"/>
      <c r="C23" s="30">
        <v>1</v>
      </c>
      <c r="D23" s="29"/>
      <c r="E23" s="29"/>
      <c r="F23" s="31"/>
      <c r="G23" s="29"/>
      <c r="H23" s="29"/>
      <c r="I23" s="29"/>
      <c r="J23" s="29"/>
      <c r="K23" s="29">
        <v>1</v>
      </c>
      <c r="L23" s="32"/>
      <c r="M23" s="32"/>
      <c r="N23" s="32"/>
      <c r="O23" s="32"/>
      <c r="P23" s="32"/>
      <c r="Q23" s="32"/>
      <c r="R23" s="32">
        <v>200</v>
      </c>
      <c r="S23" s="32">
        <f>(R23*K23+Q23*J23+M23*H23+L23*E23+L23*D23)*C23</f>
        <v>200</v>
      </c>
    </row>
    <row r="24" spans="1:19" x14ac:dyDescent="0.2">
      <c r="A24" s="29" t="s">
        <v>0</v>
      </c>
      <c r="B24" s="30" t="s">
        <v>13</v>
      </c>
      <c r="C24" s="30">
        <v>1</v>
      </c>
      <c r="D24" s="30">
        <v>1</v>
      </c>
      <c r="E24" s="30"/>
      <c r="F24" s="33"/>
      <c r="G24" s="30">
        <v>1</v>
      </c>
      <c r="H24" s="30"/>
      <c r="I24" s="30"/>
      <c r="J24" s="30"/>
      <c r="K24" s="30"/>
      <c r="L24" s="34">
        <v>4.45</v>
      </c>
      <c r="M24" s="34">
        <v>5.65</v>
      </c>
      <c r="N24" s="34"/>
      <c r="O24" s="34"/>
      <c r="P24" s="34"/>
      <c r="Q24" s="34"/>
      <c r="R24" s="34"/>
      <c r="S24" s="32">
        <f>C24*D24*L24+C24*E24*L24+F24*O24+C24*G24*M24+H24*P24+C24*I24*N24+J24*Q24</f>
        <v>10.100000000000001</v>
      </c>
    </row>
    <row r="25" spans="1:19" x14ac:dyDescent="0.2">
      <c r="A25" s="29" t="s">
        <v>1</v>
      </c>
      <c r="B25" s="30" t="s">
        <v>14</v>
      </c>
      <c r="C25" s="30">
        <v>2</v>
      </c>
      <c r="D25" s="30">
        <v>1</v>
      </c>
      <c r="E25" s="30"/>
      <c r="F25" s="33">
        <v>2</v>
      </c>
      <c r="G25" s="30">
        <v>1</v>
      </c>
      <c r="H25" s="30">
        <v>1</v>
      </c>
      <c r="I25" s="30"/>
      <c r="J25" s="30">
        <v>2.5</v>
      </c>
      <c r="K25" s="30"/>
      <c r="L25" s="34">
        <v>5.63</v>
      </c>
      <c r="M25" s="34">
        <v>5.65</v>
      </c>
      <c r="N25" s="34"/>
      <c r="O25" s="34">
        <v>15.16</v>
      </c>
      <c r="P25" s="34">
        <v>7.75</v>
      </c>
      <c r="Q25" s="34"/>
      <c r="R25" s="34"/>
      <c r="S25" s="32">
        <f t="shared" ref="S25:S31" si="1">C25*D25*L25+C25*E25*L25+F25*O25+C25*G25*M25+H25*P25+C25*I25*N25+J25*Q25</f>
        <v>60.629999999999995</v>
      </c>
    </row>
    <row r="26" spans="1:19" x14ac:dyDescent="0.2">
      <c r="A26" s="29" t="s">
        <v>2</v>
      </c>
      <c r="B26" s="30" t="s">
        <v>15</v>
      </c>
      <c r="C26" s="30">
        <v>2.5</v>
      </c>
      <c r="D26" s="30"/>
      <c r="E26" s="30">
        <v>1</v>
      </c>
      <c r="F26" s="33"/>
      <c r="G26" s="30">
        <v>1</v>
      </c>
      <c r="H26" s="30"/>
      <c r="I26" s="30"/>
      <c r="J26" s="30"/>
      <c r="K26" s="30"/>
      <c r="L26" s="34">
        <v>18.739999999999998</v>
      </c>
      <c r="M26" s="34">
        <v>7.75</v>
      </c>
      <c r="N26" s="34"/>
      <c r="O26" s="34"/>
      <c r="P26" s="34"/>
      <c r="Q26" s="34"/>
      <c r="R26" s="34"/>
      <c r="S26" s="32">
        <f t="shared" si="1"/>
        <v>66.224999999999994</v>
      </c>
    </row>
    <row r="27" spans="1:19" x14ac:dyDescent="0.2">
      <c r="A27" s="29" t="s">
        <v>21</v>
      </c>
      <c r="B27" s="30" t="s">
        <v>16</v>
      </c>
      <c r="C27" s="30">
        <v>3.5</v>
      </c>
      <c r="D27" s="30"/>
      <c r="E27" s="30">
        <v>1</v>
      </c>
      <c r="F27" s="33"/>
      <c r="G27" s="30">
        <v>1</v>
      </c>
      <c r="H27" s="30"/>
      <c r="I27" s="30">
        <v>1</v>
      </c>
      <c r="J27" s="30"/>
      <c r="K27" s="30"/>
      <c r="L27" s="34">
        <v>5.63</v>
      </c>
      <c r="M27" s="34">
        <v>9.0299999999999994</v>
      </c>
      <c r="N27" s="34"/>
      <c r="O27" s="34"/>
      <c r="P27" s="34"/>
      <c r="Q27" s="34"/>
      <c r="R27" s="34"/>
      <c r="S27" s="32">
        <f t="shared" si="1"/>
        <v>51.309999999999995</v>
      </c>
    </row>
    <row r="28" spans="1:19" x14ac:dyDescent="0.2">
      <c r="A28" s="29" t="s">
        <v>3</v>
      </c>
      <c r="B28" s="30" t="s">
        <v>17</v>
      </c>
      <c r="C28" s="30">
        <v>4</v>
      </c>
      <c r="D28" s="30">
        <v>1</v>
      </c>
      <c r="E28" s="30"/>
      <c r="F28" s="33">
        <v>4</v>
      </c>
      <c r="G28" s="30">
        <v>1</v>
      </c>
      <c r="H28" s="30"/>
      <c r="I28" s="30"/>
      <c r="J28" s="30"/>
      <c r="K28" s="30"/>
      <c r="L28" s="34">
        <v>5.63</v>
      </c>
      <c r="M28" s="34">
        <v>7.25</v>
      </c>
      <c r="N28" s="34"/>
      <c r="O28" s="34">
        <v>15.16</v>
      </c>
      <c r="P28" s="34"/>
      <c r="Q28" s="34"/>
      <c r="R28" s="34"/>
      <c r="S28" s="32">
        <f t="shared" ref="S28" si="2">C28*D28*L28+C28*E28*L28+F28*O28+C28*G28*M28+H28*P28+C28*I28*N28+J28*Q28</f>
        <v>112.16</v>
      </c>
    </row>
    <row r="29" spans="1:19" x14ac:dyDescent="0.2">
      <c r="A29" s="49" t="s">
        <v>115</v>
      </c>
      <c r="B29" s="30" t="s">
        <v>17</v>
      </c>
      <c r="C29" s="30">
        <v>4</v>
      </c>
      <c r="D29" s="30">
        <v>1</v>
      </c>
      <c r="E29" s="30"/>
      <c r="F29" s="33">
        <v>4</v>
      </c>
      <c r="G29" s="30">
        <v>1</v>
      </c>
      <c r="H29" s="30"/>
      <c r="I29" s="30"/>
      <c r="J29" s="30"/>
      <c r="K29" s="30"/>
      <c r="L29" s="34">
        <v>5.63</v>
      </c>
      <c r="M29" s="34">
        <v>7</v>
      </c>
      <c r="N29" s="34"/>
      <c r="O29" s="34">
        <v>15.16</v>
      </c>
      <c r="P29" s="34"/>
      <c r="Q29" s="34"/>
      <c r="R29" s="34"/>
      <c r="S29" s="32">
        <f t="shared" si="1"/>
        <v>111.16</v>
      </c>
    </row>
    <row r="30" spans="1:19" x14ac:dyDescent="0.2">
      <c r="A30" s="49" t="s">
        <v>116</v>
      </c>
      <c r="B30" s="30" t="s">
        <v>17</v>
      </c>
      <c r="C30" s="30">
        <v>4</v>
      </c>
      <c r="D30" s="30"/>
      <c r="E30" s="30">
        <v>1</v>
      </c>
      <c r="F30" s="33"/>
      <c r="G30" s="30">
        <v>1</v>
      </c>
      <c r="H30" s="30"/>
      <c r="I30" s="30"/>
      <c r="J30" s="30"/>
      <c r="K30" s="30"/>
      <c r="L30" s="34">
        <v>16.920000000000002</v>
      </c>
      <c r="M30" s="34">
        <v>5.48</v>
      </c>
      <c r="N30" s="34"/>
      <c r="O30" s="34"/>
      <c r="P30" s="34"/>
      <c r="Q30" s="34"/>
      <c r="R30" s="34"/>
      <c r="S30" s="32">
        <f t="shared" si="1"/>
        <v>89.600000000000009</v>
      </c>
    </row>
    <row r="31" spans="1:19" x14ac:dyDescent="0.2">
      <c r="A31" s="29" t="s">
        <v>22</v>
      </c>
      <c r="B31" s="30" t="s">
        <v>17</v>
      </c>
      <c r="C31" s="30">
        <v>4</v>
      </c>
      <c r="D31" s="30">
        <v>1</v>
      </c>
      <c r="E31" s="30"/>
      <c r="F31" s="33"/>
      <c r="G31" s="30"/>
      <c r="H31" s="30">
        <v>4</v>
      </c>
      <c r="I31" s="30">
        <v>0</v>
      </c>
      <c r="J31" s="30"/>
      <c r="K31" s="30"/>
      <c r="L31" s="34">
        <v>2.88</v>
      </c>
      <c r="M31" s="34"/>
      <c r="N31" s="34"/>
      <c r="O31" s="34"/>
      <c r="P31" s="34">
        <v>12.85</v>
      </c>
      <c r="Q31" s="34"/>
      <c r="R31" s="34"/>
      <c r="S31" s="32">
        <f t="shared" si="1"/>
        <v>62.92</v>
      </c>
    </row>
    <row r="32" spans="1:19" x14ac:dyDescent="0.2">
      <c r="A32" s="29"/>
      <c r="B32" s="30"/>
      <c r="C32" s="30"/>
      <c r="D32" s="30"/>
      <c r="E32" s="30"/>
      <c r="F32" s="33"/>
      <c r="G32" s="30"/>
      <c r="H32" s="30"/>
      <c r="I32" s="30"/>
      <c r="J32" s="30"/>
      <c r="K32" s="30"/>
      <c r="L32" s="34"/>
      <c r="M32" s="34"/>
      <c r="N32" s="34"/>
      <c r="O32" s="34"/>
      <c r="P32" s="34"/>
      <c r="Q32" s="34"/>
      <c r="R32" s="34"/>
      <c r="S32" s="29"/>
    </row>
    <row r="33" spans="1:19" x14ac:dyDescent="0.2">
      <c r="A33" s="65" t="s">
        <v>20</v>
      </c>
      <c r="B33" s="66"/>
      <c r="C33" s="66"/>
      <c r="D33" s="66"/>
      <c r="E33" s="66"/>
      <c r="F33" s="67"/>
      <c r="G33" s="66"/>
      <c r="H33" s="66"/>
      <c r="I33" s="66"/>
      <c r="J33" s="66"/>
      <c r="K33" s="66"/>
      <c r="L33" s="67"/>
      <c r="M33" s="67"/>
      <c r="N33" s="67"/>
      <c r="O33" s="67"/>
      <c r="P33" s="67"/>
      <c r="Q33" s="67"/>
      <c r="R33" s="67"/>
      <c r="S33" s="68">
        <f>SUM(S23:S32)</f>
        <v>764.10500000000002</v>
      </c>
    </row>
    <row r="34" spans="1:19" x14ac:dyDescent="0.2">
      <c r="A34" s="29" t="s">
        <v>62</v>
      </c>
      <c r="B34" s="30">
        <v>2050</v>
      </c>
      <c r="C34" s="34">
        <v>3.2</v>
      </c>
      <c r="D34" s="30"/>
      <c r="E34" s="30"/>
      <c r="F34" s="34"/>
      <c r="G34" s="30"/>
      <c r="H34" s="30"/>
      <c r="I34" s="30"/>
      <c r="J34" s="30"/>
      <c r="K34" s="30"/>
      <c r="L34" s="34"/>
      <c r="M34" s="34"/>
      <c r="N34" s="34"/>
      <c r="O34" s="34"/>
      <c r="P34" s="34"/>
      <c r="Q34" s="34"/>
      <c r="R34" s="34"/>
      <c r="S34" s="32">
        <f>C34/1000*B34</f>
        <v>6.5600000000000005</v>
      </c>
    </row>
    <row r="35" spans="1:19" x14ac:dyDescent="0.2">
      <c r="A35" s="29" t="s">
        <v>63</v>
      </c>
      <c r="B35" s="30">
        <v>5200</v>
      </c>
      <c r="C35" s="34">
        <v>3.2</v>
      </c>
      <c r="D35" s="30"/>
      <c r="E35" s="30"/>
      <c r="F35" s="34"/>
      <c r="G35" s="30"/>
      <c r="H35" s="30"/>
      <c r="I35" s="30"/>
      <c r="J35" s="30"/>
      <c r="K35" s="30"/>
      <c r="L35" s="34"/>
      <c r="M35" s="34"/>
      <c r="N35" s="34"/>
      <c r="O35" s="34"/>
      <c r="P35" s="34"/>
      <c r="Q35" s="34"/>
      <c r="R35" s="34"/>
      <c r="S35" s="32">
        <f>C35/1000*B35</f>
        <v>16.64</v>
      </c>
    </row>
    <row r="36" spans="1:19" x14ac:dyDescent="0.2">
      <c r="A36" s="29"/>
      <c r="B36" s="30"/>
      <c r="C36" s="30"/>
      <c r="D36" s="30"/>
      <c r="E36" s="30"/>
      <c r="F36" s="34"/>
      <c r="G36" s="30"/>
      <c r="H36" s="30"/>
      <c r="I36" s="30"/>
      <c r="J36" s="30"/>
      <c r="K36" s="30"/>
      <c r="L36" s="34"/>
      <c r="M36" s="34"/>
      <c r="N36" s="34"/>
      <c r="O36" s="34"/>
      <c r="P36" s="34"/>
      <c r="Q36" s="34"/>
      <c r="R36" s="29"/>
      <c r="S36" s="29"/>
    </row>
    <row r="37" spans="1:19" ht="12.75" x14ac:dyDescent="0.2">
      <c r="A37" s="109" t="s">
        <v>117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1"/>
      <c r="P37" s="111"/>
      <c r="Q37" s="111"/>
      <c r="R37" s="111"/>
      <c r="S37" s="111"/>
    </row>
    <row r="38" spans="1:19" x14ac:dyDescent="0.2">
      <c r="A38" s="28" t="s">
        <v>112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</sheetData>
  <mergeCells count="6">
    <mergeCell ref="A37:S37"/>
    <mergeCell ref="A16:S16"/>
    <mergeCell ref="L1:R1"/>
    <mergeCell ref="D1:K1"/>
    <mergeCell ref="D21:K21"/>
    <mergeCell ref="L21:R21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Kostenzusammenstellung</vt:lpstr>
      <vt:lpstr>Mittelkosten 2025</vt:lpstr>
      <vt:lpstr>Schlagkraft der Geräte</vt:lpstr>
      <vt:lpstr>Kosten Schlepper</vt:lpstr>
      <vt:lpstr>Kosten Pflanzenschutzgerät</vt:lpstr>
      <vt:lpstr>Wegestrecken</vt:lpstr>
      <vt:lpstr>Mittelkosten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Excelblat Kostenberechnung Pflanzenschutz</dc:title>
  <dc:creator>Tim</dc:creator>
  <cp:lastModifiedBy>Tim Ochssner</cp:lastModifiedBy>
  <cp:lastPrinted>2008-03-08T12:54:57Z</cp:lastPrinted>
  <dcterms:created xsi:type="dcterms:W3CDTF">2007-01-28T10:41:19Z</dcterms:created>
  <dcterms:modified xsi:type="dcterms:W3CDTF">2025-06-10T00:39:43Z</dcterms:modified>
</cp:coreProperties>
</file>