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ktuell\Arbeit\Aktuelle Artikel\2025\20250820 Kosten der Traubenernte\"/>
    </mc:Choice>
  </mc:AlternateContent>
  <xr:revisionPtr revIDLastSave="0" documentId="13_ncr:1_{2733301E-21A4-4E26-B1D0-9C3BCCAF1578}" xr6:coauthVersionLast="47" xr6:coauthVersionMax="47" xr10:uidLastSave="{00000000-0000-0000-0000-000000000000}"/>
  <bookViews>
    <workbookView xWindow="35370" yWindow="-60" windowWidth="21645" windowHeight="13980" xr2:uid="{00000000-000D-0000-FFFF-FFFF00000000}"/>
  </bookViews>
  <sheets>
    <sheet name="Kosten der Verfahren" sheetId="6" r:id="rId1"/>
    <sheet name="Verfahren Traubenernte" sheetId="8" r:id="rId2"/>
    <sheet name="Kosten Schlepper" sheetId="3" r:id="rId3"/>
    <sheet name="Kosten Selbstfahrer" sheetId="11" r:id="rId4"/>
    <sheet name="Kosten gezogen" sheetId="12" r:id="rId5"/>
    <sheet name="Kosten Traubenerntemaschine" sheetId="10" r:id="rId6"/>
    <sheet name="Wegestrecken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32" i="6" l="1"/>
  <c r="C10" i="6"/>
  <c r="C23" i="6"/>
  <c r="C31" i="6"/>
  <c r="C44" i="6"/>
  <c r="D23" i="3"/>
  <c r="C21" i="3"/>
  <c r="C7" i="3"/>
  <c r="C6" i="3"/>
  <c r="C5" i="3"/>
  <c r="C4" i="3"/>
  <c r="C3" i="3"/>
  <c r="C9" i="3" s="1"/>
  <c r="E9" i="3" s="1"/>
  <c r="E26" i="3" s="1"/>
  <c r="B16" i="6" l="1"/>
  <c r="C16" i="6"/>
  <c r="C24" i="6" s="1"/>
  <c r="B17" i="6"/>
  <c r="C17" i="6"/>
  <c r="C39" i="6"/>
  <c r="C28" i="6"/>
  <c r="B42" i="6"/>
  <c r="B33" i="6"/>
  <c r="B29" i="6"/>
  <c r="C43" i="6"/>
  <c r="F9" i="11"/>
  <c r="F19" i="11"/>
  <c r="B6" i="6"/>
  <c r="B5" i="6"/>
  <c r="B9" i="6"/>
  <c r="B8" i="6"/>
  <c r="B39" i="6"/>
  <c r="B28" i="6"/>
  <c r="D16" i="12"/>
  <c r="C6" i="12"/>
  <c r="C5" i="12"/>
  <c r="C4" i="12"/>
  <c r="C3" i="12"/>
  <c r="C9" i="12" s="1"/>
  <c r="E9" i="12" s="1"/>
  <c r="E19" i="12" s="1"/>
  <c r="D16" i="11"/>
  <c r="C6" i="11"/>
  <c r="C5" i="11"/>
  <c r="C4" i="11"/>
  <c r="C3" i="11"/>
  <c r="C9" i="11" s="1"/>
  <c r="E9" i="11" s="1"/>
  <c r="E19" i="11" s="1"/>
  <c r="B3" i="6"/>
  <c r="B4" i="6"/>
  <c r="B55" i="10"/>
  <c r="B52" i="10"/>
  <c r="B40" i="10"/>
  <c r="B41" i="10" s="1"/>
  <c r="B42" i="10" s="1"/>
  <c r="B39" i="10"/>
  <c r="B34" i="10"/>
  <c r="B31" i="10"/>
  <c r="B30" i="10"/>
  <c r="B24" i="10"/>
  <c r="A16" i="10"/>
  <c r="B13" i="10"/>
  <c r="B11" i="10"/>
  <c r="B15" i="10" s="1"/>
  <c r="B16" i="10" s="1"/>
  <c r="B49" i="10" s="1"/>
  <c r="B50" i="10" s="1"/>
  <c r="B10" i="10"/>
  <c r="B9" i="10"/>
  <c r="C45" i="6" l="1"/>
  <c r="C3" i="6"/>
  <c r="C4" i="6"/>
  <c r="B44" i="10"/>
  <c r="B45" i="10" s="1"/>
  <c r="B43" i="10"/>
  <c r="C11" i="6" l="1"/>
  <c r="B54" i="10"/>
  <c r="B47" i="10"/>
  <c r="C34" i="6" l="1"/>
</calcChain>
</file>

<file path=xl/sharedStrings.xml><?xml version="1.0" encoding="utf-8"?>
<sst xmlns="http://schemas.openxmlformats.org/spreadsheetml/2006/main" count="280" uniqueCount="182">
  <si>
    <t>55 Minuten</t>
  </si>
  <si>
    <t>30 Minuten</t>
  </si>
  <si>
    <t>40 Minuten</t>
  </si>
  <si>
    <t>Anschaffungswert</t>
  </si>
  <si>
    <t>Zinssatz</t>
  </si>
  <si>
    <t>Kosten pro Jahr</t>
  </si>
  <si>
    <t>Versicherung 0,5</t>
  </si>
  <si>
    <t>Restwert</t>
  </si>
  <si>
    <t>Nutzungsdauer</t>
  </si>
  <si>
    <t xml:space="preserve"> 10 Jahre</t>
  </si>
  <si>
    <t>Fixe Kosten</t>
  </si>
  <si>
    <t>Summe Fixe Kosten</t>
  </si>
  <si>
    <t>Variable Kosten</t>
  </si>
  <si>
    <t>Treibstoff</t>
  </si>
  <si>
    <t>Kosten pro Stunde</t>
  </si>
  <si>
    <t>Öl</t>
  </si>
  <si>
    <t>Reparatur</t>
  </si>
  <si>
    <t>Summe Variable Kosten pro Stunde</t>
  </si>
  <si>
    <t>Fixe Kosten pro Stunde bei 200 Arbeitsstunden pro Jahr</t>
  </si>
  <si>
    <t>Berechnung</t>
  </si>
  <si>
    <t>Unterbringung</t>
  </si>
  <si>
    <t>Kosten:</t>
  </si>
  <si>
    <t>Arbeitskosten</t>
  </si>
  <si>
    <t>Auslastung des Schleppers</t>
  </si>
  <si>
    <t>Summe der Kosten</t>
  </si>
  <si>
    <t>500 h/Jahr</t>
  </si>
  <si>
    <t>Annahmen für Berechnungsgrundlage</t>
  </si>
  <si>
    <t>Arbeitszeit pro Maßnahme (Stunden)</t>
  </si>
  <si>
    <t>Zeilenbreite</t>
  </si>
  <si>
    <t>Anzahl der Zeilen</t>
  </si>
  <si>
    <t xml:space="preserve"> pro Hektar</t>
  </si>
  <si>
    <r>
      <t xml:space="preserve">(100 m , </t>
    </r>
    <r>
      <rPr>
        <sz val="12"/>
        <color indexed="12"/>
        <rFont val="Times New Roman"/>
        <family val="1"/>
      </rPr>
      <t>50 m</t>
    </r>
    <r>
      <rPr>
        <sz val="12"/>
        <rFont val="Times New Roman"/>
        <family val="1"/>
      </rPr>
      <t xml:space="preserve"> , </t>
    </r>
    <r>
      <rPr>
        <sz val="12"/>
        <color indexed="10"/>
        <rFont val="Times New Roman"/>
        <family val="1"/>
      </rPr>
      <t>300 m</t>
    </r>
    <r>
      <rPr>
        <sz val="12"/>
        <rFont val="Times New Roman"/>
        <family val="1"/>
      </rPr>
      <t xml:space="preserve"> Zeilenlänge)</t>
    </r>
  </si>
  <si>
    <t>Wegelänge bei</t>
  </si>
  <si>
    <t>unterschiedlicher</t>
  </si>
  <si>
    <t>Reine Fahrtzeit bei</t>
  </si>
  <si>
    <t xml:space="preserve"> 6 km/h</t>
  </si>
  <si>
    <t xml:space="preserve"> (ohne Wendezeit)</t>
  </si>
  <si>
    <t>Wendezeit</t>
  </si>
  <si>
    <t>(Pro Wendung</t>
  </si>
  <si>
    <t>18 s)</t>
  </si>
  <si>
    <t>Summe</t>
  </si>
  <si>
    <t>Fahrtzeit</t>
  </si>
  <si>
    <t>1,50 m</t>
  </si>
  <si>
    <t>6670 m/ha</t>
  </si>
  <si>
    <t>67 Minuten</t>
  </si>
  <si>
    <t>20 Minuten</t>
  </si>
  <si>
    <t>7 Minuten</t>
  </si>
  <si>
    <r>
      <t xml:space="preserve">87 Minuten  </t>
    </r>
    <r>
      <rPr>
        <sz val="12"/>
        <color indexed="12"/>
        <rFont val="Times New Roman"/>
        <family val="1"/>
      </rPr>
      <t>107 Minuten</t>
    </r>
  </si>
  <si>
    <t>74 Minuten</t>
  </si>
  <si>
    <t>2,00 m</t>
  </si>
  <si>
    <t>5000 m/ha</t>
  </si>
  <si>
    <t>50 Minuten</t>
  </si>
  <si>
    <t>15 Minuten</t>
  </si>
  <si>
    <t>5 Minuten</t>
  </si>
  <si>
    <t>65 Minuten</t>
  </si>
  <si>
    <t>80 Minuten</t>
  </si>
  <si>
    <t>3,00 m</t>
  </si>
  <si>
    <t>3330 m/ha</t>
  </si>
  <si>
    <t>34 Minuten</t>
  </si>
  <si>
    <t>10 Minuten</t>
  </si>
  <si>
    <t>4 Minuten</t>
  </si>
  <si>
    <t>44 Minuten</t>
  </si>
  <si>
    <t>54 Minuten</t>
  </si>
  <si>
    <t>38 Minuten</t>
  </si>
  <si>
    <t>Maßnahme</t>
  </si>
  <si>
    <t>Art</t>
  </si>
  <si>
    <t>Vollernter</t>
  </si>
  <si>
    <t>Hand</t>
  </si>
  <si>
    <t xml:space="preserve">Anzahl der Durchfahrten </t>
  </si>
  <si>
    <t>Auslastung des Traubenernters</t>
  </si>
  <si>
    <t>Maschinenkalkulation</t>
  </si>
  <si>
    <t xml:space="preserve">Maschine </t>
  </si>
  <si>
    <t>Anschaffungskosten</t>
  </si>
  <si>
    <t>€</t>
  </si>
  <si>
    <t>Jahre</t>
  </si>
  <si>
    <t>kalkul. Nutzungsdauer</t>
  </si>
  <si>
    <t>h</t>
  </si>
  <si>
    <t>kalkul. Zinsfuß</t>
  </si>
  <si>
    <t>%/a</t>
  </si>
  <si>
    <t>Kapitalbindung</t>
  </si>
  <si>
    <t>%</t>
  </si>
  <si>
    <t>Afa Zeit</t>
  </si>
  <si>
    <t>€/a</t>
  </si>
  <si>
    <t>Afa Leistung</t>
  </si>
  <si>
    <t>€/h</t>
  </si>
  <si>
    <t>Zinsen</t>
  </si>
  <si>
    <t>Versicherung</t>
  </si>
  <si>
    <t>%Nw</t>
  </si>
  <si>
    <t>Unterstellung</t>
  </si>
  <si>
    <t>Festkosten</t>
  </si>
  <si>
    <t>l/h</t>
  </si>
  <si>
    <t>Treibstoffkosten</t>
  </si>
  <si>
    <t>€/l</t>
  </si>
  <si>
    <t>sonst. variable Kosten</t>
  </si>
  <si>
    <t>Bedienung</t>
  </si>
  <si>
    <t>Pers.</t>
  </si>
  <si>
    <t>Personalkosten</t>
  </si>
  <si>
    <t>€/P/h</t>
  </si>
  <si>
    <t>Reparaturen</t>
  </si>
  <si>
    <t>variable Kosten</t>
  </si>
  <si>
    <t>Kampagne</t>
  </si>
  <si>
    <t>d/a</t>
  </si>
  <si>
    <t>Nutzung/Tag</t>
  </si>
  <si>
    <t>Reinigen u. Repar.</t>
  </si>
  <si>
    <t>h/d</t>
  </si>
  <si>
    <t>Wegezeiten</t>
  </si>
  <si>
    <t>weit. variable Kosten</t>
  </si>
  <si>
    <t>€/d</t>
  </si>
  <si>
    <t xml:space="preserve"> = vari. Kosten/h </t>
  </si>
  <si>
    <t>Arbeitsgeschw.</t>
  </si>
  <si>
    <t>km/h</t>
  </si>
  <si>
    <t>m/s</t>
  </si>
  <si>
    <t>Min.</t>
  </si>
  <si>
    <t>sonstige Zeiten</t>
  </si>
  <si>
    <t>Zeilenlänge</t>
  </si>
  <si>
    <t>m</t>
  </si>
  <si>
    <t>Zeilen/ha</t>
  </si>
  <si>
    <t>Zeilen</t>
  </si>
  <si>
    <t>Strecke/ha</t>
  </si>
  <si>
    <t>reine Arbeitszeit</t>
  </si>
  <si>
    <t>h/ha</t>
  </si>
  <si>
    <t>einschl. Nebenzeiten</t>
  </si>
  <si>
    <t>Leistung/Stunde</t>
  </si>
  <si>
    <t>ha/h</t>
  </si>
  <si>
    <t>Leistung/Tag</t>
  </si>
  <si>
    <t>ha/d</t>
  </si>
  <si>
    <t>Kampagneleistung</t>
  </si>
  <si>
    <t>ha/a</t>
  </si>
  <si>
    <t>Arbeitsgänge/Jahr</t>
  </si>
  <si>
    <t>max. Bearbeitungsfläche</t>
  </si>
  <si>
    <t>Kosten/h</t>
  </si>
  <si>
    <t>Kosten/ha</t>
  </si>
  <si>
    <t>€/ha</t>
  </si>
  <si>
    <t>theor. Nutzungsdauer</t>
  </si>
  <si>
    <t>techn. Nutzungsdauer</t>
  </si>
  <si>
    <t>techn. Leistung</t>
  </si>
  <si>
    <t>ha</t>
  </si>
  <si>
    <t xml:space="preserve">h </t>
  </si>
  <si>
    <t>Vorgaben für die Berechnung</t>
  </si>
  <si>
    <t>Felder in Matrixen werden automatisch aktualisiert</t>
  </si>
  <si>
    <t>Arbeitskosten Fachkraft</t>
  </si>
  <si>
    <t>Arbeitsstunde Aushilfskraft</t>
  </si>
  <si>
    <t>Arbeitslohn Schlepperfahrer</t>
  </si>
  <si>
    <t>Arbeitskosten Saisonarbeitskraft</t>
  </si>
  <si>
    <t>Anzahl der Durchgänge</t>
  </si>
  <si>
    <t>Arbeitszeit pro Maßnahme (Stunden) Fachkraft</t>
  </si>
  <si>
    <t>Arbeitszeit pro Maßnahme (Stunden) Saisonarbeitskraft</t>
  </si>
  <si>
    <t>Kosten der Traubenernte                        1 Lesedurchgang</t>
  </si>
  <si>
    <t>Traubenernte</t>
  </si>
  <si>
    <t xml:space="preserve">Traubenernte </t>
  </si>
  <si>
    <t>selektiv 3 Durchgänge</t>
  </si>
  <si>
    <t>maschinell</t>
  </si>
  <si>
    <t>gezogener Traubenernter</t>
  </si>
  <si>
    <t>Selbstfahrender Vollernter</t>
  </si>
  <si>
    <t>Arbeitszeit für die Ernte Aushilfskräfte</t>
  </si>
  <si>
    <t>Arbeitszeit für die Ernte Fachkräfte</t>
  </si>
  <si>
    <t>Arbeitskosten des Traubenerntegrätes pro Stunde ohne Fahrer =  Fixkosten pro Stunde zuzüglich Variabler Kosten pro Stunde:</t>
  </si>
  <si>
    <t>Kosten der Traubenernte gezogener Vollernter</t>
  </si>
  <si>
    <t>200 h/Jahr</t>
  </si>
  <si>
    <t>Kosten der Traubenernte  selbstfahrender Vollernter</t>
  </si>
  <si>
    <t>h Schlepper für die Traubenabfuhr</t>
  </si>
  <si>
    <t>Arbeitszeit Traktor/Maschine für Ernteabfuhr aus Weinberg</t>
  </si>
  <si>
    <t>Arbeitszeit Traktor Traubentransport</t>
  </si>
  <si>
    <t>Arbeitszeit Traubenerntegerät</t>
  </si>
  <si>
    <t>h Schlepper für die Traubetransport an Erfassung</t>
  </si>
  <si>
    <t>insg 15 h</t>
  </si>
  <si>
    <t>insges:180 h</t>
  </si>
  <si>
    <t>Auslastung des gez. Vollernters</t>
  </si>
  <si>
    <t>Fixe Kosten pro Stunde bei  300 Arbeitsstunden pro Jahr</t>
  </si>
  <si>
    <r>
      <t>Fixe Kosten pro Stunde bei</t>
    </r>
    <r>
      <rPr>
        <sz val="10"/>
        <color indexed="13"/>
        <rFont val="Arial"/>
        <family val="2"/>
      </rPr>
      <t xml:space="preserve"> ___</t>
    </r>
    <r>
      <rPr>
        <sz val="10"/>
        <rFont val="Arial"/>
        <family val="2"/>
      </rPr>
      <t xml:space="preserve"> Arbeitsstunden pro Jahr</t>
    </r>
  </si>
  <si>
    <t xml:space="preserve">Versicherung </t>
  </si>
  <si>
    <t>Nutzungsdauer in Jahren</t>
  </si>
  <si>
    <t>pro Betriebsstunde</t>
  </si>
  <si>
    <t>Einsatzbedfingungen</t>
  </si>
  <si>
    <t>Arbeitsstunden pro Jahr</t>
  </si>
  <si>
    <t>oder</t>
  </si>
  <si>
    <r>
      <t xml:space="preserve">Bitte nur Arbeitsstunden pro Jahr </t>
    </r>
    <r>
      <rPr>
        <sz val="8"/>
        <color indexed="10"/>
        <rFont val="Arial"/>
        <family val="2"/>
      </rPr>
      <t>oder</t>
    </r>
    <r>
      <rPr>
        <sz val="8"/>
        <rFont val="Arial"/>
        <family val="2"/>
      </rPr>
      <t xml:space="preserve"> Arbeitsstunden pro Hektar und Fläche eingeben!</t>
    </r>
  </si>
  <si>
    <t>Arbeitsstunden pro Hektar</t>
  </si>
  <si>
    <t>Einsatzfläche</t>
  </si>
  <si>
    <t xml:space="preserve"> --&gt; Arbeitsstunden pro Jahr</t>
  </si>
  <si>
    <t>Arbeitskosten des Schleppers pro Stunde ohne Fahrer =                                       Fixkosten pro Stunde zuzüglich Variabler Kosten pro Stunde:</t>
  </si>
  <si>
    <t>Kosten der Traubenernte                      3  mal mit der Hand --&gt;Selektion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</si>
</sst>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#,##0\ \ \ \ "/>
    <numFmt numFmtId="166" formatCode="0\ \ \ \ "/>
  </numFmts>
  <fonts count="23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Times New Roman"/>
      <family val="1"/>
    </font>
    <font>
      <sz val="12"/>
      <color indexed="12"/>
      <name val="Times New Roman"/>
      <family val="1"/>
    </font>
    <font>
      <sz val="12"/>
      <color indexed="10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b/>
      <sz val="12"/>
      <color indexed="12"/>
      <name val="Arial"/>
      <family val="2"/>
    </font>
    <font>
      <b/>
      <sz val="10"/>
      <color indexed="10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sz val="9"/>
      <color indexed="12"/>
      <name val="Arial"/>
      <family val="2"/>
    </font>
    <font>
      <sz val="10"/>
      <color indexed="10"/>
      <name val="Arial"/>
      <family val="2"/>
    </font>
    <font>
      <b/>
      <sz val="12"/>
      <color indexed="1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indexed="13"/>
      <name val="Arial"/>
      <family val="2"/>
    </font>
    <font>
      <sz val="10"/>
      <color indexed="47"/>
      <name val="Arial"/>
      <family val="2"/>
    </font>
    <font>
      <sz val="8"/>
      <color indexed="10"/>
      <name val="Arial"/>
      <family val="2"/>
    </font>
    <font>
      <b/>
      <sz val="16"/>
      <color theme="0"/>
      <name val="Arial"/>
      <family val="2"/>
    </font>
    <font>
      <sz val="16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gradientFill degree="90">
        <stop position="0">
          <color rgb="FFFFC000"/>
        </stop>
        <stop position="1">
          <color rgb="FFFF0000"/>
        </stop>
      </gradient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12"/>
      </top>
      <bottom style="medium">
        <color indexed="12"/>
      </bottom>
      <diagonal/>
    </border>
    <border>
      <left style="hair">
        <color indexed="64"/>
      </left>
      <right/>
      <top style="medium">
        <color indexed="12"/>
      </top>
      <bottom style="medium">
        <color indexed="12"/>
      </bottom>
      <diagonal/>
    </border>
    <border>
      <left/>
      <right style="medium">
        <color indexed="64"/>
      </right>
      <top style="medium">
        <color indexed="12"/>
      </top>
      <bottom style="medium">
        <color indexed="12"/>
      </bottom>
      <diagonal/>
    </border>
    <border>
      <left style="medium">
        <color indexed="64"/>
      </left>
      <right/>
      <top style="thin">
        <color indexed="12"/>
      </top>
      <bottom style="thin">
        <color indexed="12"/>
      </bottom>
      <diagonal/>
    </border>
    <border>
      <left style="hair">
        <color indexed="64"/>
      </left>
      <right/>
      <top style="thin">
        <color indexed="12"/>
      </top>
      <bottom style="thin">
        <color indexed="12"/>
      </bottom>
      <diagonal/>
    </border>
    <border>
      <left/>
      <right style="medium">
        <color indexed="64"/>
      </right>
      <top style="thin">
        <color indexed="12"/>
      </top>
      <bottom style="thin">
        <color indexed="12"/>
      </bottom>
      <diagonal/>
    </border>
    <border>
      <left style="medium">
        <color indexed="64"/>
      </left>
      <right/>
      <top/>
      <bottom style="thin">
        <color indexed="12"/>
      </bottom>
      <diagonal/>
    </border>
    <border>
      <left style="hair">
        <color indexed="64"/>
      </left>
      <right/>
      <top/>
      <bottom style="thin">
        <color indexed="12"/>
      </bottom>
      <diagonal/>
    </border>
    <border>
      <left/>
      <right style="medium">
        <color indexed="64"/>
      </right>
      <top/>
      <bottom style="thin">
        <color indexed="12"/>
      </bottom>
      <diagonal/>
    </border>
    <border>
      <left style="medium">
        <color indexed="64"/>
      </left>
      <right/>
      <top style="double">
        <color indexed="10"/>
      </top>
      <bottom style="double">
        <color indexed="10"/>
      </bottom>
      <diagonal/>
    </border>
    <border>
      <left style="hair">
        <color indexed="64"/>
      </left>
      <right/>
      <top style="double">
        <color indexed="10"/>
      </top>
      <bottom style="double">
        <color indexed="10"/>
      </bottom>
      <diagonal/>
    </border>
    <border>
      <left/>
      <right style="medium">
        <color indexed="64"/>
      </right>
      <top style="double">
        <color indexed="10"/>
      </top>
      <bottom style="double">
        <color indexed="1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164" fontId="2" fillId="0" borderId="0" xfId="0" applyNumberFormat="1" applyFont="1"/>
    <xf numFmtId="0" fontId="2" fillId="0" borderId="0" xfId="0" applyFont="1"/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0" fillId="0" borderId="1" xfId="0" applyBorder="1"/>
    <xf numFmtId="2" fontId="0" fillId="0" borderId="1" xfId="0" applyNumberFormat="1" applyBorder="1"/>
    <xf numFmtId="0" fontId="2" fillId="0" borderId="1" xfId="0" applyFont="1" applyBorder="1"/>
    <xf numFmtId="164" fontId="2" fillId="0" borderId="1" xfId="0" applyNumberFormat="1" applyFont="1" applyBorder="1"/>
    <xf numFmtId="10" fontId="0" fillId="0" borderId="1" xfId="0" applyNumberFormat="1" applyBorder="1"/>
    <xf numFmtId="0" fontId="4" fillId="4" borderId="2" xfId="0" applyFont="1" applyFill="1" applyBorder="1" applyAlignment="1">
      <alignment horizontal="center" vertical="top" wrapText="1"/>
    </xf>
    <xf numFmtId="0" fontId="4" fillId="4" borderId="3" xfId="0" applyFont="1" applyFill="1" applyBorder="1" applyAlignment="1">
      <alignment horizontal="center" vertical="top" wrapText="1"/>
    </xf>
    <xf numFmtId="0" fontId="4" fillId="4" borderId="4" xfId="0" applyFont="1" applyFill="1" applyBorder="1" applyAlignment="1">
      <alignment horizontal="center" vertical="top" wrapText="1"/>
    </xf>
    <xf numFmtId="0" fontId="0" fillId="4" borderId="4" xfId="0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center" vertical="top" wrapText="1"/>
    </xf>
    <xf numFmtId="0" fontId="6" fillId="4" borderId="3" xfId="0" applyFont="1" applyFill="1" applyBorder="1" applyAlignment="1">
      <alignment horizontal="center" vertical="top" wrapText="1"/>
    </xf>
    <xf numFmtId="0" fontId="6" fillId="4" borderId="4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wrapText="1"/>
    </xf>
    <xf numFmtId="164" fontId="2" fillId="6" borderId="1" xfId="0" applyNumberFormat="1" applyFont="1" applyFill="1" applyBorder="1"/>
    <xf numFmtId="0" fontId="0" fillId="5" borderId="1" xfId="0" applyFill="1" applyBorder="1" applyAlignment="1">
      <alignment vertical="center" wrapText="1"/>
    </xf>
    <xf numFmtId="164" fontId="0" fillId="7" borderId="1" xfId="0" applyNumberFormat="1" applyFill="1" applyBorder="1"/>
    <xf numFmtId="2" fontId="0" fillId="8" borderId="1" xfId="0" applyNumberFormat="1" applyFill="1" applyBorder="1"/>
    <xf numFmtId="0" fontId="3" fillId="6" borderId="1" xfId="0" applyFont="1" applyFill="1" applyBorder="1"/>
    <xf numFmtId="164" fontId="3" fillId="6" borderId="1" xfId="0" applyNumberFormat="1" applyFont="1" applyFill="1" applyBorder="1"/>
    <xf numFmtId="0" fontId="8" fillId="5" borderId="1" xfId="0" applyFont="1" applyFill="1" applyBorder="1" applyAlignment="1">
      <alignment wrapText="1"/>
    </xf>
    <xf numFmtId="0" fontId="7" fillId="0" borderId="0" xfId="0" applyFont="1"/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7" fillId="0" borderId="1" xfId="0" applyFont="1" applyBorder="1"/>
    <xf numFmtId="0" fontId="0" fillId="9" borderId="0" xfId="0" applyFill="1"/>
    <xf numFmtId="0" fontId="9" fillId="9" borderId="0" xfId="0" applyFont="1" applyFill="1" applyAlignment="1">
      <alignment horizontal="right" vertical="center"/>
    </xf>
    <xf numFmtId="0" fontId="0" fillId="10" borderId="5" xfId="0" applyFill="1" applyBorder="1" applyAlignment="1">
      <alignment vertical="center"/>
    </xf>
    <xf numFmtId="0" fontId="10" fillId="4" borderId="6" xfId="0" applyFont="1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2" fillId="10" borderId="8" xfId="0" applyFont="1" applyFill="1" applyBorder="1"/>
    <xf numFmtId="165" fontId="2" fillId="0" borderId="9" xfId="0" applyNumberFormat="1" applyFont="1" applyBorder="1"/>
    <xf numFmtId="0" fontId="2" fillId="10" borderId="10" xfId="0" applyFont="1" applyFill="1" applyBorder="1"/>
    <xf numFmtId="0" fontId="0" fillId="10" borderId="8" xfId="0" applyFill="1" applyBorder="1"/>
    <xf numFmtId="165" fontId="0" fillId="0" borderId="9" xfId="0" applyNumberFormat="1" applyBorder="1"/>
    <xf numFmtId="0" fontId="0" fillId="10" borderId="10" xfId="0" applyFill="1" applyBorder="1"/>
    <xf numFmtId="0" fontId="0" fillId="10" borderId="8" xfId="0" applyFill="1" applyBorder="1" applyAlignment="1">
      <alignment horizontal="left"/>
    </xf>
    <xf numFmtId="0" fontId="11" fillId="10" borderId="8" xfId="0" applyFont="1" applyFill="1" applyBorder="1"/>
    <xf numFmtId="165" fontId="11" fillId="11" borderId="9" xfId="0" applyNumberFormat="1" applyFont="1" applyFill="1" applyBorder="1"/>
    <xf numFmtId="0" fontId="11" fillId="10" borderId="10" xfId="0" applyFont="1" applyFill="1" applyBorder="1"/>
    <xf numFmtId="165" fontId="11" fillId="12" borderId="9" xfId="0" applyNumberFormat="1" applyFont="1" applyFill="1" applyBorder="1"/>
    <xf numFmtId="4" fontId="0" fillId="0" borderId="9" xfId="0" applyNumberFormat="1" applyBorder="1"/>
    <xf numFmtId="0" fontId="12" fillId="10" borderId="11" xfId="0" applyFont="1" applyFill="1" applyBorder="1"/>
    <xf numFmtId="165" fontId="12" fillId="12" borderId="12" xfId="0" applyNumberFormat="1" applyFont="1" applyFill="1" applyBorder="1"/>
    <xf numFmtId="0" fontId="12" fillId="10" borderId="13" xfId="0" applyFont="1" applyFill="1" applyBorder="1"/>
    <xf numFmtId="0" fontId="13" fillId="10" borderId="8" xfId="0" applyFont="1" applyFill="1" applyBorder="1"/>
    <xf numFmtId="4" fontId="11" fillId="12" borderId="9" xfId="0" applyNumberFormat="1" applyFont="1" applyFill="1" applyBorder="1"/>
    <xf numFmtId="165" fontId="2" fillId="10" borderId="9" xfId="0" applyNumberFormat="1" applyFont="1" applyFill="1" applyBorder="1"/>
    <xf numFmtId="166" fontId="0" fillId="0" borderId="9" xfId="0" applyNumberFormat="1" applyBorder="1"/>
    <xf numFmtId="0" fontId="12" fillId="10" borderId="14" xfId="0" applyFont="1" applyFill="1" applyBorder="1"/>
    <xf numFmtId="4" fontId="12" fillId="12" borderId="15" xfId="0" applyNumberFormat="1" applyFont="1" applyFill="1" applyBorder="1"/>
    <xf numFmtId="0" fontId="12" fillId="10" borderId="16" xfId="0" applyFont="1" applyFill="1" applyBorder="1"/>
    <xf numFmtId="0" fontId="0" fillId="10" borderId="9" xfId="0" applyFill="1" applyBorder="1"/>
    <xf numFmtId="0" fontId="12" fillId="10" borderId="8" xfId="0" applyFont="1" applyFill="1" applyBorder="1" applyAlignment="1">
      <alignment horizontal="right"/>
    </xf>
    <xf numFmtId="4" fontId="12" fillId="12" borderId="9" xfId="0" applyNumberFormat="1" applyFont="1" applyFill="1" applyBorder="1"/>
    <xf numFmtId="0" fontId="12" fillId="10" borderId="10" xfId="0" applyFont="1" applyFill="1" applyBorder="1"/>
    <xf numFmtId="0" fontId="12" fillId="10" borderId="14" xfId="0" applyFont="1" applyFill="1" applyBorder="1" applyAlignment="1">
      <alignment horizontal="right"/>
    </xf>
    <xf numFmtId="166" fontId="11" fillId="12" borderId="9" xfId="0" applyNumberFormat="1" applyFont="1" applyFill="1" applyBorder="1"/>
    <xf numFmtId="0" fontId="11" fillId="10" borderId="8" xfId="0" applyFont="1" applyFill="1" applyBorder="1" applyAlignment="1">
      <alignment horizontal="right"/>
    </xf>
    <xf numFmtId="0" fontId="12" fillId="10" borderId="8" xfId="0" applyFont="1" applyFill="1" applyBorder="1"/>
    <xf numFmtId="0" fontId="12" fillId="10" borderId="14" xfId="0" applyFont="1" applyFill="1" applyBorder="1" applyAlignment="1">
      <alignment vertical="center"/>
    </xf>
    <xf numFmtId="4" fontId="12" fillId="12" borderId="15" xfId="0" applyNumberFormat="1" applyFont="1" applyFill="1" applyBorder="1" applyAlignment="1">
      <alignment vertical="center"/>
    </xf>
    <xf numFmtId="0" fontId="12" fillId="10" borderId="16" xfId="0" applyFont="1" applyFill="1" applyBorder="1" applyAlignment="1">
      <alignment vertical="center"/>
    </xf>
    <xf numFmtId="0" fontId="13" fillId="10" borderId="17" xfId="0" applyFont="1" applyFill="1" applyBorder="1"/>
    <xf numFmtId="4" fontId="11" fillId="12" borderId="18" xfId="0" applyNumberFormat="1" applyFont="1" applyFill="1" applyBorder="1"/>
    <xf numFmtId="0" fontId="11" fillId="10" borderId="19" xfId="0" applyFont="1" applyFill="1" applyBorder="1"/>
    <xf numFmtId="0" fontId="14" fillId="10" borderId="8" xfId="0" applyFont="1" applyFill="1" applyBorder="1"/>
    <xf numFmtId="4" fontId="14" fillId="12" borderId="9" xfId="0" applyNumberFormat="1" applyFont="1" applyFill="1" applyBorder="1"/>
    <xf numFmtId="0" fontId="14" fillId="10" borderId="10" xfId="0" applyFont="1" applyFill="1" applyBorder="1"/>
    <xf numFmtId="0" fontId="15" fillId="10" borderId="20" xfId="0" applyFont="1" applyFill="1" applyBorder="1"/>
    <xf numFmtId="4" fontId="15" fillId="12" borderId="21" xfId="0" applyNumberFormat="1" applyFont="1" applyFill="1" applyBorder="1"/>
    <xf numFmtId="0" fontId="15" fillId="10" borderId="22" xfId="0" applyFont="1" applyFill="1" applyBorder="1"/>
    <xf numFmtId="166" fontId="7" fillId="0" borderId="9" xfId="0" applyNumberFormat="1" applyFont="1" applyBorder="1"/>
    <xf numFmtId="0" fontId="0" fillId="10" borderId="23" xfId="0" applyFill="1" applyBorder="1"/>
    <xf numFmtId="165" fontId="11" fillId="12" borderId="24" xfId="0" applyNumberFormat="1" applyFont="1" applyFill="1" applyBorder="1"/>
    <xf numFmtId="0" fontId="11" fillId="10" borderId="25" xfId="0" applyFont="1" applyFill="1" applyBorder="1"/>
    <xf numFmtId="2" fontId="7" fillId="0" borderId="1" xfId="0" applyNumberFormat="1" applyFont="1" applyBorder="1"/>
    <xf numFmtId="0" fontId="0" fillId="0" borderId="0" xfId="0" applyAlignment="1">
      <alignment horizontal="left"/>
    </xf>
    <xf numFmtId="0" fontId="0" fillId="13" borderId="1" xfId="0" applyFill="1" applyBorder="1"/>
    <xf numFmtId="164" fontId="0" fillId="2" borderId="1" xfId="0" applyNumberFormat="1" applyFill="1" applyBorder="1" applyAlignment="1" applyProtection="1">
      <alignment horizontal="center"/>
      <protection locked="0"/>
    </xf>
    <xf numFmtId="164" fontId="7" fillId="7" borderId="1" xfId="0" applyNumberFormat="1" applyFont="1" applyFill="1" applyBorder="1"/>
    <xf numFmtId="0" fontId="2" fillId="5" borderId="0" xfId="0" applyFont="1" applyFill="1"/>
    <xf numFmtId="0" fontId="0" fillId="14" borderId="0" xfId="0" applyFill="1"/>
    <xf numFmtId="0" fontId="7" fillId="14" borderId="0" xfId="0" applyFont="1" applyFill="1"/>
    <xf numFmtId="0" fontId="16" fillId="6" borderId="1" xfId="0" applyFont="1" applyFill="1" applyBorder="1"/>
    <xf numFmtId="164" fontId="17" fillId="6" borderId="1" xfId="0" applyNumberFormat="1" applyFont="1" applyFill="1" applyBorder="1"/>
    <xf numFmtId="2" fontId="7" fillId="8" borderId="1" xfId="0" applyNumberFormat="1" applyFont="1" applyFill="1" applyBorder="1"/>
    <xf numFmtId="164" fontId="7" fillId="0" borderId="1" xfId="0" applyNumberFormat="1" applyFont="1" applyBorder="1"/>
    <xf numFmtId="0" fontId="7" fillId="5" borderId="1" xfId="0" applyFont="1" applyFill="1" applyBorder="1" applyAlignment="1">
      <alignment vertical="center" wrapText="1"/>
    </xf>
    <xf numFmtId="164" fontId="0" fillId="2" borderId="1" xfId="0" applyNumberFormat="1" applyFill="1" applyBorder="1" applyProtection="1">
      <protection locked="0"/>
    </xf>
    <xf numFmtId="164" fontId="19" fillId="0" borderId="1" xfId="0" applyNumberFormat="1" applyFont="1" applyBorder="1"/>
    <xf numFmtId="0" fontId="0" fillId="2" borderId="1" xfId="0" applyFill="1" applyBorder="1" applyProtection="1">
      <protection locked="0"/>
    </xf>
    <xf numFmtId="164" fontId="3" fillId="0" borderId="1" xfId="0" applyNumberFormat="1" applyFont="1" applyBorder="1"/>
    <xf numFmtId="164" fontId="0" fillId="2" borderId="1" xfId="0" applyNumberFormat="1" applyFill="1" applyBorder="1"/>
    <xf numFmtId="0" fontId="1" fillId="0" borderId="1" xfId="0" applyFont="1" applyBorder="1"/>
    <xf numFmtId="0" fontId="0" fillId="5" borderId="1" xfId="0" applyFill="1" applyBorder="1"/>
    <xf numFmtId="164" fontId="3" fillId="15" borderId="1" xfId="0" applyNumberFormat="1" applyFont="1" applyFill="1" applyBorder="1"/>
    <xf numFmtId="164" fontId="21" fillId="6" borderId="1" xfId="0" applyNumberFormat="1" applyFont="1" applyFill="1" applyBorder="1"/>
    <xf numFmtId="0" fontId="22" fillId="3" borderId="1" xfId="0" applyFont="1" applyFill="1" applyBorder="1" applyAlignment="1">
      <alignment wrapText="1"/>
    </xf>
    <xf numFmtId="0" fontId="16" fillId="6" borderId="26" xfId="0" applyFont="1" applyFill="1" applyBorder="1" applyAlignment="1">
      <alignment horizontal="center" wrapText="1"/>
    </xf>
    <xf numFmtId="0" fontId="16" fillId="6" borderId="27" xfId="0" applyFont="1" applyFill="1" applyBorder="1" applyAlignment="1">
      <alignment horizontal="center" wrapText="1"/>
    </xf>
    <xf numFmtId="0" fontId="16" fillId="6" borderId="28" xfId="0" applyFont="1" applyFill="1" applyBorder="1" applyAlignment="1">
      <alignment horizontal="center" wrapText="1"/>
    </xf>
    <xf numFmtId="0" fontId="16" fillId="6" borderId="29" xfId="0" applyFont="1" applyFill="1" applyBorder="1" applyAlignment="1">
      <alignment horizontal="center" wrapText="1"/>
    </xf>
    <xf numFmtId="0" fontId="16" fillId="6" borderId="30" xfId="0" applyFont="1" applyFill="1" applyBorder="1" applyAlignment="1">
      <alignment horizontal="center" wrapText="1"/>
    </xf>
    <xf numFmtId="0" fontId="16" fillId="6" borderId="31" xfId="0" applyFont="1" applyFill="1" applyBorder="1" applyAlignment="1">
      <alignment horizontal="center" wrapText="1"/>
    </xf>
    <xf numFmtId="0" fontId="16" fillId="6" borderId="1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vertical="top" wrapText="1"/>
    </xf>
    <xf numFmtId="0" fontId="4" fillId="4" borderId="3" xfId="0" applyFont="1" applyFill="1" applyBorder="1" applyAlignment="1">
      <alignment vertical="top" wrapText="1"/>
    </xf>
    <xf numFmtId="0" fontId="4" fillId="4" borderId="4" xfId="0" applyFont="1" applyFill="1" applyBorder="1" applyAlignment="1">
      <alignment vertical="top" wrapText="1"/>
    </xf>
    <xf numFmtId="0" fontId="4" fillId="4" borderId="2" xfId="0" applyFont="1" applyFill="1" applyBorder="1" applyAlignment="1">
      <alignment horizontal="center" vertical="top" wrapText="1"/>
    </xf>
    <xf numFmtId="0" fontId="4" fillId="4" borderId="3" xfId="0" applyFont="1" applyFill="1" applyBorder="1" applyAlignment="1">
      <alignment horizontal="center" vertical="top" wrapText="1"/>
    </xf>
    <xf numFmtId="0" fontId="4" fillId="4" borderId="4" xfId="0" applyFont="1" applyFill="1" applyBorder="1" applyAlignment="1">
      <alignment horizontal="center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Scroll" dx="16" fmlaLink="B$26" max="365" min="1" page="10" val="40"/>
</file>

<file path=xl/ctrlProps/ctrlProp2.xml><?xml version="1.0" encoding="utf-8"?>
<formControlPr xmlns="http://schemas.microsoft.com/office/spreadsheetml/2009/9/main" objectType="Scroll" dx="16" fmlaLink="B$27" max="24" min="1" page="10" val="10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jpeg"/><Relationship Id="rId2" Type="http://schemas.openxmlformats.org/officeDocument/2006/relationships/image" Target="../media/image8.jpeg"/><Relationship Id="rId1" Type="http://schemas.openxmlformats.org/officeDocument/2006/relationships/image" Target="../media/image7.jpeg"/><Relationship Id="rId6" Type="http://schemas.openxmlformats.org/officeDocument/2006/relationships/image" Target="../media/image12.jpeg"/><Relationship Id="rId5" Type="http://schemas.openxmlformats.org/officeDocument/2006/relationships/image" Target="../media/image11.jpeg"/><Relationship Id="rId4" Type="http://schemas.openxmlformats.org/officeDocument/2006/relationships/image" Target="../media/image10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23811</xdr:colOff>
      <xdr:row>0</xdr:row>
      <xdr:rowOff>10583</xdr:rowOff>
    </xdr:from>
    <xdr:to>
      <xdr:col>4</xdr:col>
      <xdr:colOff>294438</xdr:colOff>
      <xdr:row>11</xdr:row>
      <xdr:rowOff>10584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8E53F270-DCDB-DB39-30FF-058F9B860B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865811" y="10583"/>
          <a:ext cx="3191627" cy="2233084"/>
        </a:xfrm>
        <a:prstGeom prst="rect">
          <a:avLst/>
        </a:prstGeom>
      </xdr:spPr>
    </xdr:pic>
    <xdr:clientData/>
  </xdr:twoCellAnchor>
  <xdr:twoCellAnchor editAs="oneCell">
    <xdr:from>
      <xdr:col>3</xdr:col>
      <xdr:colOff>27655</xdr:colOff>
      <xdr:row>25</xdr:row>
      <xdr:rowOff>35718</xdr:rowOff>
    </xdr:from>
    <xdr:to>
      <xdr:col>3</xdr:col>
      <xdr:colOff>2910416</xdr:colOff>
      <xdr:row>34</xdr:row>
      <xdr:rowOff>18288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7F1799E4-FDB7-B84B-2379-DB693C3041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869655" y="4893468"/>
          <a:ext cx="2882761" cy="1813487"/>
        </a:xfrm>
        <a:prstGeom prst="rect">
          <a:avLst/>
        </a:prstGeom>
      </xdr:spPr>
    </xdr:pic>
    <xdr:clientData/>
  </xdr:twoCellAnchor>
  <xdr:twoCellAnchor editAs="oneCell">
    <xdr:from>
      <xdr:col>2</xdr:col>
      <xdr:colOff>963082</xdr:colOff>
      <xdr:row>36</xdr:row>
      <xdr:rowOff>1917</xdr:rowOff>
    </xdr:from>
    <xdr:to>
      <xdr:col>4</xdr:col>
      <xdr:colOff>0</xdr:colOff>
      <xdr:row>45</xdr:row>
      <xdr:rowOff>31750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AC655EC9-D30A-AD5A-D6A0-37B7C34D60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841999" y="7008084"/>
          <a:ext cx="2921001" cy="1860749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35410</xdr:colOff>
      <xdr:row>23</xdr:row>
      <xdr:rowOff>190500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C2DE7BEF-ADB2-1723-70ED-E14E3262A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42000" y="2550583"/>
          <a:ext cx="2956410" cy="2137834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285750</xdr:colOff>
      <xdr:row>0</xdr:row>
      <xdr:rowOff>10583</xdr:rowOff>
    </xdr:from>
    <xdr:to>
      <xdr:col>4</xdr:col>
      <xdr:colOff>3122082</xdr:colOff>
      <xdr:row>11</xdr:row>
      <xdr:rowOff>21167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2B300C2F-7A57-4DD2-A21F-2056DBACC2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48750" y="10583"/>
          <a:ext cx="2836332" cy="2243667"/>
        </a:xfrm>
        <a:prstGeom prst="rect">
          <a:avLst/>
        </a:prstGeom>
      </xdr:spPr>
    </xdr:pic>
    <xdr:clientData/>
  </xdr:twoCellAnchor>
  <xdr:twoCellAnchor editAs="oneCell">
    <xdr:from>
      <xdr:col>4</xdr:col>
      <xdr:colOff>10584</xdr:colOff>
      <xdr:row>13</xdr:row>
      <xdr:rowOff>13756</xdr:rowOff>
    </xdr:from>
    <xdr:to>
      <xdr:col>4</xdr:col>
      <xdr:colOff>3111500</xdr:colOff>
      <xdr:row>23</xdr:row>
      <xdr:rowOff>190500</xdr:rowOff>
    </xdr:to>
    <xdr:pic>
      <xdr:nvPicPr>
        <xdr:cNvPr id="18" name="Grafik 17">
          <a:extLst>
            <a:ext uri="{FF2B5EF4-FFF2-40B4-BE49-F238E27FC236}">
              <a16:creationId xmlns:a16="http://schemas.microsoft.com/office/drawing/2014/main" id="{5D8BC453-A251-E137-5C68-9689B28CAB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3584" y="2564339"/>
          <a:ext cx="3100916" cy="212407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9</xdr:row>
      <xdr:rowOff>38100</xdr:rowOff>
    </xdr:from>
    <xdr:to>
      <xdr:col>2</xdr:col>
      <xdr:colOff>12121</xdr:colOff>
      <xdr:row>10</xdr:row>
      <xdr:rowOff>4788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FA1DBC98-A6DB-41FE-A179-9E597B30A3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43025" y="1419225"/>
          <a:ext cx="1659946" cy="1109688"/>
        </a:xfrm>
        <a:prstGeom prst="rect">
          <a:avLst/>
        </a:prstGeom>
      </xdr:spPr>
    </xdr:pic>
    <xdr:clientData/>
  </xdr:twoCellAnchor>
  <xdr:twoCellAnchor editAs="oneCell">
    <xdr:from>
      <xdr:col>2</xdr:col>
      <xdr:colOff>193674</xdr:colOff>
      <xdr:row>9</xdr:row>
      <xdr:rowOff>0</xdr:rowOff>
    </xdr:from>
    <xdr:to>
      <xdr:col>2</xdr:col>
      <xdr:colOff>1355723</xdr:colOff>
      <xdr:row>10</xdr:row>
      <xdr:rowOff>19049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3EE6B426-446B-49C9-803C-435248E048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84524" y="1381125"/>
          <a:ext cx="1162049" cy="1162049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9</xdr:row>
      <xdr:rowOff>12631</xdr:rowOff>
    </xdr:from>
    <xdr:to>
      <xdr:col>3</xdr:col>
      <xdr:colOff>1515717</xdr:colOff>
      <xdr:row>10</xdr:row>
      <xdr:rowOff>6418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B76D099C-E13B-77CC-B6E3-8022B6096B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62475" y="1393756"/>
          <a:ext cx="1515717" cy="1136787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9</xdr:row>
      <xdr:rowOff>54212</xdr:rowOff>
    </xdr:from>
    <xdr:to>
      <xdr:col>4</xdr:col>
      <xdr:colOff>1728788</xdr:colOff>
      <xdr:row>9</xdr:row>
      <xdr:rowOff>1098311</xdr:rowOff>
    </xdr:to>
    <xdr:pic>
      <xdr:nvPicPr>
        <xdr:cNvPr id="24" name="Picture 1">
          <a:extLst>
            <a:ext uri="{FF2B5EF4-FFF2-40B4-BE49-F238E27FC236}">
              <a16:creationId xmlns:a16="http://schemas.microsoft.com/office/drawing/2014/main" id="{65755D39-6BC0-4167-B3F9-254C7AC99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096000" y="1435337"/>
          <a:ext cx="1728788" cy="10440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28575</xdr:colOff>
      <xdr:row>10</xdr:row>
      <xdr:rowOff>14286</xdr:rowOff>
    </xdr:from>
    <xdr:to>
      <xdr:col>2</xdr:col>
      <xdr:colOff>19050</xdr:colOff>
      <xdr:row>17</xdr:row>
      <xdr:rowOff>123824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98D52D1F-128D-FFFB-41CD-F64F9631CB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2550" y="4005261"/>
          <a:ext cx="1657350" cy="1243013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10</xdr:row>
      <xdr:rowOff>116680</xdr:rowOff>
    </xdr:from>
    <xdr:to>
      <xdr:col>2</xdr:col>
      <xdr:colOff>1514475</xdr:colOff>
      <xdr:row>17</xdr:row>
      <xdr:rowOff>47624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619EA5DE-3953-C140-0D98-26C47C0AB0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6100" y="4107655"/>
          <a:ext cx="1419225" cy="10644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175260</xdr:colOff>
      <xdr:row>0</xdr:row>
      <xdr:rowOff>0</xdr:rowOff>
    </xdr:from>
    <xdr:to>
      <xdr:col>0</xdr:col>
      <xdr:colOff>809625</xdr:colOff>
      <xdr:row>0</xdr:row>
      <xdr:rowOff>800100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1E1717E2-7EBE-40A4-A609-D8C63643B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239" r="26239"/>
        <a:stretch/>
      </xdr:blipFill>
      <xdr:spPr bwMode="auto">
        <a:xfrm>
          <a:off x="175260" y="4210050"/>
          <a:ext cx="634365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161925</xdr:rowOff>
    </xdr:from>
    <xdr:to>
      <xdr:col>0</xdr:col>
      <xdr:colOff>1304924</xdr:colOff>
      <xdr:row>1</xdr:row>
      <xdr:rowOff>16545</xdr:rowOff>
    </xdr:to>
    <xdr:pic>
      <xdr:nvPicPr>
        <xdr:cNvPr id="7" name="Picture 4">
          <a:extLst>
            <a:ext uri="{FF2B5EF4-FFF2-40B4-BE49-F238E27FC236}">
              <a16:creationId xmlns:a16="http://schemas.microsoft.com/office/drawing/2014/main" id="{511855A4-2813-47E6-A274-9BA78FDFD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161925"/>
          <a:ext cx="1304924" cy="6642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4531</xdr:rowOff>
    </xdr:from>
    <xdr:to>
      <xdr:col>0</xdr:col>
      <xdr:colOff>1457325</xdr:colOff>
      <xdr:row>0</xdr:row>
      <xdr:rowOff>1069342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C8AE6BF-7315-4F7B-A30B-836330EFF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8100" y="4531"/>
          <a:ext cx="1419225" cy="10648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241" name="Scroll Bar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5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242" name="Scroll Bar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5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6.xml"/><Relationship Id="rId4" Type="http://schemas.openxmlformats.org/officeDocument/2006/relationships/ctrlProp" Target="../ctrlProps/ctrlProp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3"/>
  <sheetViews>
    <sheetView tabSelected="1" topLeftCell="A14" zoomScale="90" zoomScaleNormal="90" workbookViewId="0">
      <selection activeCell="C32" sqref="C32"/>
    </sheetView>
  </sheetViews>
  <sheetFormatPr baseColWidth="10" defaultRowHeight="12.75" x14ac:dyDescent="0.2"/>
  <cols>
    <col min="1" max="1" width="50.7109375" customWidth="1"/>
    <col min="2" max="2" width="22.42578125" customWidth="1"/>
    <col min="3" max="3" width="14.42578125" customWidth="1"/>
    <col min="4" max="4" width="43.85546875" customWidth="1"/>
    <col min="5" max="5" width="46.85546875" customWidth="1"/>
    <col min="6" max="6" width="22.42578125" customWidth="1"/>
    <col min="7" max="7" width="69.5703125" customWidth="1"/>
    <col min="8" max="8" width="34" customWidth="1"/>
  </cols>
  <sheetData>
    <row r="1" spans="1:7" s="1" customFormat="1" ht="47.25" customHeight="1" x14ac:dyDescent="0.3">
      <c r="A1" s="106" t="s">
        <v>147</v>
      </c>
      <c r="B1" s="27" t="s">
        <v>26</v>
      </c>
      <c r="C1" s="27" t="s">
        <v>5</v>
      </c>
    </row>
    <row r="2" spans="1:7" s="1" customFormat="1" x14ac:dyDescent="0.2">
      <c r="A2" s="5" t="s">
        <v>21</v>
      </c>
      <c r="B2" s="5"/>
      <c r="C2" s="5"/>
    </row>
    <row r="3" spans="1:7" s="1" customFormat="1" x14ac:dyDescent="0.2">
      <c r="A3" s="32" t="s">
        <v>140</v>
      </c>
      <c r="B3" s="88">
        <f>B51</f>
        <v>25</v>
      </c>
      <c r="C3" s="6">
        <f>B3*B5*B7</f>
        <v>125</v>
      </c>
    </row>
    <row r="4" spans="1:7" x14ac:dyDescent="0.2">
      <c r="A4" s="32" t="s">
        <v>143</v>
      </c>
      <c r="B4" s="23">
        <f>B52</f>
        <v>14.7</v>
      </c>
      <c r="C4" s="6">
        <f>B4*B6*B7</f>
        <v>955.5</v>
      </c>
      <c r="D4" s="2"/>
    </row>
    <row r="5" spans="1:7" x14ac:dyDescent="0.2">
      <c r="A5" s="32" t="s">
        <v>145</v>
      </c>
      <c r="B5" s="24">
        <f>'Verfahren Traubenernte'!B5</f>
        <v>5</v>
      </c>
      <c r="C5" s="6"/>
      <c r="D5" s="2"/>
    </row>
    <row r="6" spans="1:7" x14ac:dyDescent="0.2">
      <c r="A6" s="32" t="s">
        <v>146</v>
      </c>
      <c r="B6" s="24">
        <f>'Verfahren Traubenernte'!B6</f>
        <v>65</v>
      </c>
      <c r="C6" s="6"/>
      <c r="D6" s="2"/>
    </row>
    <row r="7" spans="1:7" x14ac:dyDescent="0.2">
      <c r="A7" s="32" t="s">
        <v>144</v>
      </c>
      <c r="B7" s="24">
        <v>1</v>
      </c>
      <c r="C7" s="6"/>
      <c r="D7" s="2"/>
    </row>
    <row r="8" spans="1:7" x14ac:dyDescent="0.2">
      <c r="A8" s="32" t="s">
        <v>160</v>
      </c>
      <c r="B8" s="94">
        <f>'Verfahren Traubenernte'!B8</f>
        <v>4</v>
      </c>
      <c r="D8" s="2"/>
    </row>
    <row r="9" spans="1:7" x14ac:dyDescent="0.2">
      <c r="A9" s="32" t="s">
        <v>164</v>
      </c>
      <c r="B9" s="94">
        <f>'Verfahren Traubenernte'!B7</f>
        <v>1</v>
      </c>
      <c r="C9" s="6"/>
      <c r="D9" s="2"/>
    </row>
    <row r="10" spans="1:7" s="4" customFormat="1" x14ac:dyDescent="0.2">
      <c r="A10" s="7" t="s">
        <v>23</v>
      </c>
      <c r="B10" s="8" t="s">
        <v>25</v>
      </c>
      <c r="C10" s="6">
        <f>(B9+B8)*B7*'Kosten Schlepper'!E26</f>
        <v>298.25</v>
      </c>
      <c r="D10" s="3"/>
    </row>
    <row r="11" spans="1:7" s="4" customFormat="1" ht="15.75" x14ac:dyDescent="0.25">
      <c r="A11" s="25" t="s">
        <v>24</v>
      </c>
      <c r="B11" s="21"/>
      <c r="C11" s="26">
        <f>SUM(C3:C9)</f>
        <v>1080.5</v>
      </c>
      <c r="D11" s="3"/>
    </row>
    <row r="12" spans="1:7" x14ac:dyDescent="0.2">
      <c r="B12" s="2"/>
      <c r="C12" s="2"/>
      <c r="E12" s="3"/>
      <c r="F12" s="4"/>
      <c r="G12" s="4"/>
    </row>
    <row r="13" spans="1:7" x14ac:dyDescent="0.2">
      <c r="B13" s="2"/>
      <c r="C13" s="2"/>
      <c r="D13" s="2"/>
      <c r="E13" s="3"/>
      <c r="F13" s="4"/>
      <c r="G13" s="4"/>
    </row>
    <row r="14" spans="1:7" ht="40.5" x14ac:dyDescent="0.3">
      <c r="A14" s="106" t="s">
        <v>181</v>
      </c>
      <c r="B14" s="27" t="s">
        <v>26</v>
      </c>
      <c r="C14" s="27" t="s">
        <v>5</v>
      </c>
    </row>
    <row r="15" spans="1:7" x14ac:dyDescent="0.2">
      <c r="A15" s="5" t="s">
        <v>21</v>
      </c>
      <c r="B15" s="5"/>
      <c r="C15" s="5"/>
    </row>
    <row r="16" spans="1:7" x14ac:dyDescent="0.2">
      <c r="A16" s="32" t="s">
        <v>140</v>
      </c>
      <c r="B16" s="88">
        <f>B51</f>
        <v>25</v>
      </c>
      <c r="C16" s="6">
        <f>B16*B18*B20</f>
        <v>375</v>
      </c>
    </row>
    <row r="17" spans="1:3" x14ac:dyDescent="0.2">
      <c r="A17" s="32" t="s">
        <v>143</v>
      </c>
      <c r="B17" s="23">
        <f>B52</f>
        <v>14.7</v>
      </c>
      <c r="C17" s="6">
        <f>B17*B19*B20</f>
        <v>2646</v>
      </c>
    </row>
    <row r="18" spans="1:3" x14ac:dyDescent="0.2">
      <c r="A18" s="32" t="s">
        <v>145</v>
      </c>
      <c r="B18" s="24">
        <v>5</v>
      </c>
      <c r="C18" s="95" t="s">
        <v>165</v>
      </c>
    </row>
    <row r="19" spans="1:3" x14ac:dyDescent="0.2">
      <c r="A19" s="32" t="s">
        <v>146</v>
      </c>
      <c r="B19" s="24">
        <v>60</v>
      </c>
      <c r="C19" s="95" t="s">
        <v>166</v>
      </c>
    </row>
    <row r="20" spans="1:3" x14ac:dyDescent="0.2">
      <c r="A20" s="32" t="s">
        <v>144</v>
      </c>
      <c r="B20" s="24">
        <v>3</v>
      </c>
      <c r="C20" s="6"/>
    </row>
    <row r="21" spans="1:3" x14ac:dyDescent="0.2">
      <c r="A21" s="32" t="s">
        <v>160</v>
      </c>
      <c r="B21" s="94">
        <v>3</v>
      </c>
    </row>
    <row r="22" spans="1:3" x14ac:dyDescent="0.2">
      <c r="A22" s="32" t="s">
        <v>164</v>
      </c>
      <c r="B22" s="94">
        <v>1</v>
      </c>
      <c r="C22" s="6"/>
    </row>
    <row r="23" spans="1:3" x14ac:dyDescent="0.2">
      <c r="A23" s="7" t="s">
        <v>23</v>
      </c>
      <c r="B23" s="8" t="s">
        <v>25</v>
      </c>
      <c r="C23" s="6">
        <f>(B22+B21)*B20*'Kosten Schlepper'!E26</f>
        <v>715.8</v>
      </c>
    </row>
    <row r="24" spans="1:3" ht="15.75" x14ac:dyDescent="0.25">
      <c r="A24" s="25" t="s">
        <v>24</v>
      </c>
      <c r="B24" s="21"/>
      <c r="C24" s="26">
        <f>SUM(C16:C22)</f>
        <v>3021</v>
      </c>
    </row>
    <row r="26" spans="1:3" ht="40.5" x14ac:dyDescent="0.3">
      <c r="A26" s="106" t="s">
        <v>157</v>
      </c>
      <c r="B26" s="27" t="s">
        <v>26</v>
      </c>
      <c r="C26" s="27" t="s">
        <v>5</v>
      </c>
    </row>
    <row r="27" spans="1:3" x14ac:dyDescent="0.2">
      <c r="A27" s="5" t="s">
        <v>21</v>
      </c>
      <c r="B27" s="5"/>
      <c r="C27" s="5"/>
    </row>
    <row r="28" spans="1:3" x14ac:dyDescent="0.2">
      <c r="A28" s="7" t="s">
        <v>22</v>
      </c>
      <c r="B28" s="23">
        <f>B53</f>
        <v>20</v>
      </c>
      <c r="C28" s="6">
        <f>B28*(B29+B33)*B30</f>
        <v>100</v>
      </c>
    </row>
    <row r="29" spans="1:3" x14ac:dyDescent="0.2">
      <c r="A29" s="7" t="s">
        <v>27</v>
      </c>
      <c r="B29" s="24">
        <f>'Verfahren Traubenernte'!D9</f>
        <v>3</v>
      </c>
      <c r="C29" s="6"/>
    </row>
    <row r="30" spans="1:3" x14ac:dyDescent="0.2">
      <c r="A30" s="32" t="s">
        <v>68</v>
      </c>
      <c r="B30" s="24">
        <v>1</v>
      </c>
      <c r="C30" s="6"/>
    </row>
    <row r="31" spans="1:3" x14ac:dyDescent="0.2">
      <c r="A31" s="7" t="s">
        <v>23</v>
      </c>
      <c r="B31" s="8" t="s">
        <v>25</v>
      </c>
      <c r="C31" s="6">
        <f>'Kosten Schlepper'!E26*(B29+B33)*B30</f>
        <v>298.25</v>
      </c>
    </row>
    <row r="32" spans="1:3" x14ac:dyDescent="0.2">
      <c r="A32" s="32" t="s">
        <v>167</v>
      </c>
      <c r="B32" s="84" t="s">
        <v>158</v>
      </c>
      <c r="C32" s="6">
        <f>'Verfahren Traubenernte'!D9*'Kosten gezogen'!E19</f>
        <v>453</v>
      </c>
    </row>
    <row r="33" spans="1:3" x14ac:dyDescent="0.2">
      <c r="A33" s="32" t="s">
        <v>164</v>
      </c>
      <c r="B33" s="94">
        <f>'Verfahren Traubenernte'!D7</f>
        <v>2</v>
      </c>
      <c r="C33" s="10"/>
    </row>
    <row r="34" spans="1:3" ht="15.75" x14ac:dyDescent="0.25">
      <c r="A34" s="25" t="s">
        <v>24</v>
      </c>
      <c r="B34" s="21"/>
      <c r="C34" s="26">
        <f>SUM(C28:C32)</f>
        <v>851.25</v>
      </c>
    </row>
    <row r="37" spans="1:3" ht="40.5" x14ac:dyDescent="0.3">
      <c r="A37" s="106" t="s">
        <v>159</v>
      </c>
      <c r="B37" s="27" t="s">
        <v>26</v>
      </c>
      <c r="C37" s="27" t="s">
        <v>5</v>
      </c>
    </row>
    <row r="38" spans="1:3" x14ac:dyDescent="0.2">
      <c r="A38" s="5" t="s">
        <v>21</v>
      </c>
      <c r="B38" s="5"/>
      <c r="C38" s="5"/>
    </row>
    <row r="39" spans="1:3" x14ac:dyDescent="0.2">
      <c r="A39" s="7" t="s">
        <v>22</v>
      </c>
      <c r="B39" s="23">
        <f>B53</f>
        <v>20</v>
      </c>
      <c r="C39" s="6">
        <f>B39*(B40+B42)*B41</f>
        <v>80</v>
      </c>
    </row>
    <row r="40" spans="1:3" x14ac:dyDescent="0.2">
      <c r="A40" s="7" t="s">
        <v>27</v>
      </c>
      <c r="B40" s="24">
        <v>2</v>
      </c>
      <c r="C40" s="6"/>
    </row>
    <row r="41" spans="1:3" x14ac:dyDescent="0.2">
      <c r="A41" s="32" t="s">
        <v>68</v>
      </c>
      <c r="B41" s="24">
        <v>1</v>
      </c>
      <c r="C41" s="6"/>
    </row>
    <row r="42" spans="1:3" x14ac:dyDescent="0.2">
      <c r="A42" s="32" t="s">
        <v>164</v>
      </c>
      <c r="B42" s="94">
        <f>'Verfahren Traubenernte'!E7</f>
        <v>2</v>
      </c>
      <c r="C42" s="6"/>
    </row>
    <row r="43" spans="1:3" x14ac:dyDescent="0.2">
      <c r="A43" s="32" t="s">
        <v>69</v>
      </c>
      <c r="B43" s="84" t="s">
        <v>158</v>
      </c>
      <c r="C43" s="6">
        <f>'Kosten Selbstfahrer'!E19*B40</f>
        <v>644.1</v>
      </c>
    </row>
    <row r="44" spans="1:3" x14ac:dyDescent="0.2">
      <c r="A44" s="7" t="s">
        <v>23</v>
      </c>
      <c r="B44" s="8" t="s">
        <v>25</v>
      </c>
      <c r="C44" s="6">
        <f>'Kosten Schlepper'!E26*(B42)*B41</f>
        <v>119.3</v>
      </c>
    </row>
    <row r="45" spans="1:3" ht="15.75" x14ac:dyDescent="0.25">
      <c r="A45" s="25" t="s">
        <v>24</v>
      </c>
      <c r="B45" s="21"/>
      <c r="C45" s="26">
        <f>SUM(C39:C43)</f>
        <v>724.1</v>
      </c>
    </row>
    <row r="49" spans="1:2" x14ac:dyDescent="0.2">
      <c r="A49" t="s">
        <v>138</v>
      </c>
      <c r="B49" s="85" t="s">
        <v>139</v>
      </c>
    </row>
    <row r="50" spans="1:2" x14ac:dyDescent="0.2">
      <c r="B50" s="19"/>
    </row>
    <row r="51" spans="1:2" x14ac:dyDescent="0.2">
      <c r="A51" s="86" t="s">
        <v>140</v>
      </c>
      <c r="B51" s="87">
        <v>25</v>
      </c>
    </row>
    <row r="52" spans="1:2" x14ac:dyDescent="0.2">
      <c r="A52" s="86" t="s">
        <v>141</v>
      </c>
      <c r="B52" s="87">
        <v>14.7</v>
      </c>
    </row>
    <row r="53" spans="1:2" x14ac:dyDescent="0.2">
      <c r="A53" s="86" t="s">
        <v>142</v>
      </c>
      <c r="B53" s="87">
        <v>20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F64F4-A684-4225-8437-49A135E1D2C9}">
  <dimension ref="A1:L10"/>
  <sheetViews>
    <sheetView workbookViewId="0">
      <selection activeCell="D9" sqref="D9"/>
    </sheetView>
  </sheetViews>
  <sheetFormatPr baseColWidth="10" defaultRowHeight="12.75" x14ac:dyDescent="0.2"/>
  <cols>
    <col min="1" max="1" width="19.85546875" customWidth="1"/>
    <col min="2" max="2" width="25" customWidth="1"/>
    <col min="3" max="3" width="23.5703125" customWidth="1"/>
    <col min="4" max="4" width="23" customWidth="1"/>
    <col min="5" max="5" width="26.7109375" customWidth="1"/>
    <col min="6" max="6" width="24" customWidth="1"/>
    <col min="7" max="7" width="23.85546875" customWidth="1"/>
    <col min="8" max="8" width="23.5703125" customWidth="1"/>
    <col min="9" max="9" width="22.85546875" customWidth="1"/>
    <col min="10" max="10" width="26.85546875" customWidth="1"/>
    <col min="11" max="11" width="25.28515625" customWidth="1"/>
  </cols>
  <sheetData>
    <row r="1" spans="1:12" s="89" customFormat="1" x14ac:dyDescent="0.2">
      <c r="A1" s="89" t="s">
        <v>148</v>
      </c>
    </row>
    <row r="2" spans="1:12" s="90" customFormat="1" x14ac:dyDescent="0.2">
      <c r="A2" s="90" t="s">
        <v>64</v>
      </c>
      <c r="B2" s="90" t="s">
        <v>148</v>
      </c>
      <c r="C2" s="90" t="s">
        <v>149</v>
      </c>
      <c r="D2" s="90" t="s">
        <v>148</v>
      </c>
      <c r="E2" s="91" t="s">
        <v>149</v>
      </c>
    </row>
    <row r="3" spans="1:12" x14ac:dyDescent="0.2">
      <c r="A3" t="s">
        <v>65</v>
      </c>
      <c r="C3" t="s">
        <v>150</v>
      </c>
      <c r="D3" t="s">
        <v>151</v>
      </c>
      <c r="E3" s="28" t="s">
        <v>151</v>
      </c>
      <c r="J3" s="28"/>
    </row>
    <row r="4" spans="1:12" x14ac:dyDescent="0.2">
      <c r="B4" s="28" t="s">
        <v>67</v>
      </c>
      <c r="C4" s="28" t="s">
        <v>67</v>
      </c>
      <c r="D4" t="s">
        <v>152</v>
      </c>
      <c r="E4" s="28" t="s">
        <v>153</v>
      </c>
    </row>
    <row r="5" spans="1:12" s="31" customFormat="1" ht="57.75" customHeight="1" x14ac:dyDescent="0.2">
      <c r="A5" s="29" t="s">
        <v>155</v>
      </c>
      <c r="B5" s="30">
        <v>5</v>
      </c>
      <c r="C5" s="30">
        <v>15</v>
      </c>
      <c r="D5" s="30">
        <v>6</v>
      </c>
      <c r="E5" s="30">
        <v>5</v>
      </c>
      <c r="F5" s="30"/>
      <c r="G5" s="30"/>
      <c r="H5" s="30"/>
      <c r="I5" s="30"/>
      <c r="J5" s="30"/>
      <c r="K5" s="30"/>
      <c r="L5" s="30"/>
    </row>
    <row r="6" spans="1:12" s="31" customFormat="1" ht="57.75" customHeight="1" x14ac:dyDescent="0.2">
      <c r="A6" s="29" t="s">
        <v>154</v>
      </c>
      <c r="B6" s="30">
        <v>65</v>
      </c>
      <c r="C6" s="30">
        <v>180</v>
      </c>
      <c r="D6" s="30">
        <v>0</v>
      </c>
      <c r="E6" s="30">
        <v>0</v>
      </c>
      <c r="F6" s="30"/>
      <c r="G6" s="30"/>
      <c r="H6" s="30"/>
      <c r="I6" s="30"/>
      <c r="J6" s="30"/>
      <c r="K6" s="30"/>
      <c r="L6" s="30"/>
    </row>
    <row r="7" spans="1:12" s="31" customFormat="1" ht="57.75" customHeight="1" x14ac:dyDescent="0.2">
      <c r="A7" s="29" t="s">
        <v>162</v>
      </c>
      <c r="B7" s="30">
        <v>1</v>
      </c>
      <c r="C7" s="30">
        <v>6</v>
      </c>
      <c r="D7" s="30">
        <v>2</v>
      </c>
      <c r="E7" s="30">
        <v>2</v>
      </c>
      <c r="F7" s="30"/>
      <c r="G7" s="30"/>
      <c r="H7" s="30"/>
      <c r="I7" s="30"/>
      <c r="J7" s="30"/>
      <c r="K7" s="30"/>
      <c r="L7" s="30"/>
    </row>
    <row r="8" spans="1:12" s="31" customFormat="1" ht="57.75" customHeight="1" x14ac:dyDescent="0.2">
      <c r="A8" s="29" t="s">
        <v>161</v>
      </c>
      <c r="B8" s="30">
        <v>4</v>
      </c>
      <c r="C8" s="30">
        <v>12</v>
      </c>
      <c r="D8" s="30">
        <v>0</v>
      </c>
      <c r="E8" s="30">
        <v>0</v>
      </c>
      <c r="F8" s="30"/>
      <c r="G8" s="30"/>
      <c r="H8" s="30"/>
      <c r="I8" s="30"/>
      <c r="J8" s="30"/>
      <c r="K8" s="30"/>
      <c r="L8" s="30"/>
    </row>
    <row r="9" spans="1:12" s="31" customFormat="1" ht="57.75" customHeight="1" x14ac:dyDescent="0.2">
      <c r="A9" s="29" t="s">
        <v>163</v>
      </c>
      <c r="B9" s="30">
        <v>0</v>
      </c>
      <c r="C9" s="30">
        <v>0</v>
      </c>
      <c r="D9" s="30">
        <v>3</v>
      </c>
      <c r="E9" s="30">
        <v>2</v>
      </c>
      <c r="F9" s="30"/>
      <c r="G9" s="30"/>
      <c r="H9" s="30"/>
      <c r="I9" s="30"/>
      <c r="J9" s="30"/>
      <c r="K9" s="30"/>
      <c r="L9" s="30"/>
    </row>
    <row r="10" spans="1:12" ht="90" customHeight="1" x14ac:dyDescent="0.2"/>
  </sheetData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0"/>
  <sheetViews>
    <sheetView workbookViewId="0">
      <selection activeCell="E26" sqref="A1:E26"/>
    </sheetView>
  </sheetViews>
  <sheetFormatPr baseColWidth="10" defaultRowHeight="12.75" x14ac:dyDescent="0.2"/>
  <cols>
    <col min="1" max="6" width="22.5703125" customWidth="1"/>
  </cols>
  <sheetData>
    <row r="1" spans="1:5" s="1" customFormat="1" ht="67.5" customHeight="1" x14ac:dyDescent="0.2">
      <c r="A1" s="5"/>
      <c r="B1" s="22" t="s">
        <v>19</v>
      </c>
      <c r="C1" s="22" t="s">
        <v>5</v>
      </c>
      <c r="D1" s="22" t="s">
        <v>14</v>
      </c>
      <c r="E1" s="22" t="s">
        <v>169</v>
      </c>
    </row>
    <row r="2" spans="1:5" s="1" customFormat="1" x14ac:dyDescent="0.2">
      <c r="A2" s="20" t="s">
        <v>10</v>
      </c>
      <c r="B2" s="5"/>
      <c r="C2" s="5"/>
      <c r="D2" s="5"/>
      <c r="E2" s="5"/>
    </row>
    <row r="3" spans="1:5" x14ac:dyDescent="0.2">
      <c r="A3" s="7" t="s">
        <v>3</v>
      </c>
      <c r="B3" s="97">
        <v>135000</v>
      </c>
      <c r="C3" s="6">
        <f>(B3-C4)/B8</f>
        <v>10125</v>
      </c>
      <c r="D3" s="6"/>
      <c r="E3" s="6"/>
    </row>
    <row r="4" spans="1:5" x14ac:dyDescent="0.2">
      <c r="A4" s="7" t="s">
        <v>7</v>
      </c>
      <c r="B4" s="11">
        <v>0.25</v>
      </c>
      <c r="C4" s="98">
        <f>B3*B4</f>
        <v>33750</v>
      </c>
      <c r="D4" s="6"/>
      <c r="E4" s="6"/>
    </row>
    <row r="5" spans="1:5" x14ac:dyDescent="0.2">
      <c r="A5" s="7" t="s">
        <v>4</v>
      </c>
      <c r="B5" s="11">
        <v>0.05</v>
      </c>
      <c r="C5" s="6">
        <f>B3*B5</f>
        <v>6750</v>
      </c>
      <c r="D5" s="6"/>
      <c r="E5" s="6"/>
    </row>
    <row r="6" spans="1:5" x14ac:dyDescent="0.2">
      <c r="A6" s="7" t="s">
        <v>20</v>
      </c>
      <c r="B6" s="11">
        <v>0.01</v>
      </c>
      <c r="C6" s="6">
        <f>B3*B6</f>
        <v>1350</v>
      </c>
      <c r="D6" s="6"/>
      <c r="E6" s="6"/>
    </row>
    <row r="7" spans="1:5" x14ac:dyDescent="0.2">
      <c r="A7" s="7" t="s">
        <v>170</v>
      </c>
      <c r="B7" s="11">
        <v>5.0000000000000001E-3</v>
      </c>
      <c r="C7" s="6">
        <f>B3*B7</f>
        <v>675</v>
      </c>
      <c r="D7" s="6"/>
      <c r="E7" s="6"/>
    </row>
    <row r="8" spans="1:5" x14ac:dyDescent="0.2">
      <c r="A8" s="5" t="s">
        <v>171</v>
      </c>
      <c r="B8" s="99">
        <v>10</v>
      </c>
      <c r="D8" s="6"/>
      <c r="E8" s="6"/>
    </row>
    <row r="9" spans="1:5" ht="15.75" x14ac:dyDescent="0.25">
      <c r="A9" s="9" t="s">
        <v>11</v>
      </c>
      <c r="B9" s="6"/>
      <c r="C9" s="6">
        <f>SUM(C5:C8)+C3</f>
        <v>18900</v>
      </c>
      <c r="D9" s="6"/>
      <c r="E9" s="100">
        <f>C9/(B17+B19*B20)</f>
        <v>37.799999999999997</v>
      </c>
    </row>
    <row r="10" spans="1:5" x14ac:dyDescent="0.2">
      <c r="A10" s="7"/>
      <c r="B10" s="6"/>
      <c r="C10" s="6"/>
      <c r="D10" s="6"/>
      <c r="E10" s="6"/>
    </row>
    <row r="11" spans="1:5" x14ac:dyDescent="0.2">
      <c r="A11" s="9" t="s">
        <v>12</v>
      </c>
      <c r="B11" s="6" t="s">
        <v>172</v>
      </c>
      <c r="C11" s="6"/>
      <c r="D11" s="7"/>
      <c r="E11" s="6"/>
    </row>
    <row r="12" spans="1:5" x14ac:dyDescent="0.2">
      <c r="A12" s="7" t="s">
        <v>13</v>
      </c>
      <c r="B12" s="6"/>
      <c r="C12" s="6"/>
      <c r="D12" s="101">
        <v>13</v>
      </c>
      <c r="E12" s="6"/>
    </row>
    <row r="13" spans="1:5" x14ac:dyDescent="0.2">
      <c r="A13" s="7" t="s">
        <v>15</v>
      </c>
      <c r="B13" s="6"/>
      <c r="C13" s="6"/>
      <c r="D13" s="101">
        <v>0.4</v>
      </c>
      <c r="E13" s="6"/>
    </row>
    <row r="14" spans="1:5" x14ac:dyDescent="0.2">
      <c r="A14" s="7" t="s">
        <v>16</v>
      </c>
      <c r="B14" s="6"/>
      <c r="C14" s="6"/>
      <c r="D14" s="101">
        <v>8.4499999999999993</v>
      </c>
      <c r="E14" s="6"/>
    </row>
    <row r="15" spans="1:5" x14ac:dyDescent="0.2">
      <c r="A15" s="7"/>
      <c r="B15" s="7"/>
      <c r="C15" s="7"/>
      <c r="D15" s="7"/>
      <c r="E15" s="7"/>
    </row>
    <row r="16" spans="1:5" x14ac:dyDescent="0.2">
      <c r="A16" s="9" t="s">
        <v>173</v>
      </c>
      <c r="B16" s="7"/>
      <c r="C16" s="7"/>
      <c r="D16" s="7"/>
      <c r="E16" s="7"/>
    </row>
    <row r="17" spans="1:5" x14ac:dyDescent="0.2">
      <c r="A17" s="7" t="s">
        <v>174</v>
      </c>
      <c r="B17" s="99">
        <v>500</v>
      </c>
      <c r="C17" s="7"/>
      <c r="D17" s="7"/>
      <c r="E17" s="7"/>
    </row>
    <row r="18" spans="1:5" ht="12.75" customHeight="1" x14ac:dyDescent="0.2">
      <c r="A18" s="7" t="s">
        <v>175</v>
      </c>
      <c r="B18" s="102" t="s">
        <v>176</v>
      </c>
      <c r="C18" s="7"/>
      <c r="D18" s="7"/>
      <c r="E18" s="7"/>
    </row>
    <row r="19" spans="1:5" x14ac:dyDescent="0.2">
      <c r="A19" s="7" t="s">
        <v>177</v>
      </c>
      <c r="B19" s="99">
        <v>0</v>
      </c>
      <c r="C19" s="7"/>
      <c r="D19" s="7"/>
      <c r="E19" s="7"/>
    </row>
    <row r="20" spans="1:5" x14ac:dyDescent="0.2">
      <c r="A20" s="7" t="s">
        <v>178</v>
      </c>
      <c r="B20" s="99">
        <v>0</v>
      </c>
      <c r="C20" s="7"/>
      <c r="D20" s="7"/>
      <c r="E20" s="7"/>
    </row>
    <row r="21" spans="1:5" x14ac:dyDescent="0.2">
      <c r="A21" s="7" t="s">
        <v>179</v>
      </c>
      <c r="B21" s="7">
        <v>0</v>
      </c>
      <c r="C21" s="103">
        <f>B17+B19*B20</f>
        <v>500</v>
      </c>
      <c r="D21" s="7"/>
      <c r="E21" s="7"/>
    </row>
    <row r="22" spans="1:5" x14ac:dyDescent="0.2">
      <c r="A22" s="7"/>
      <c r="B22" s="7"/>
      <c r="C22" s="7"/>
      <c r="D22" s="7"/>
      <c r="E22" s="7"/>
    </row>
    <row r="23" spans="1:5" ht="15.75" x14ac:dyDescent="0.25">
      <c r="A23" s="9" t="s">
        <v>17</v>
      </c>
      <c r="B23" s="7"/>
      <c r="C23" s="7"/>
      <c r="D23" s="104">
        <f>SUM(D12:D15)</f>
        <v>21.85</v>
      </c>
      <c r="E23" s="7"/>
    </row>
    <row r="24" spans="1:5" x14ac:dyDescent="0.2">
      <c r="A24" s="7"/>
      <c r="B24" s="7"/>
      <c r="C24" s="7"/>
      <c r="D24" s="7"/>
      <c r="E24" s="7"/>
    </row>
    <row r="25" spans="1:5" ht="12.75" customHeight="1" x14ac:dyDescent="0.2">
      <c r="A25" s="107" t="s">
        <v>180</v>
      </c>
      <c r="B25" s="108"/>
      <c r="C25" s="108"/>
      <c r="D25" s="109"/>
      <c r="E25" s="7"/>
    </row>
    <row r="26" spans="1:5" ht="20.25" x14ac:dyDescent="0.3">
      <c r="A26" s="110"/>
      <c r="B26" s="111"/>
      <c r="C26" s="111"/>
      <c r="D26" s="112"/>
      <c r="E26" s="105">
        <f>E9+D23</f>
        <v>59.65</v>
      </c>
    </row>
    <row r="40" customFormat="1" ht="12.75" customHeight="1" x14ac:dyDescent="0.2"/>
  </sheetData>
  <mergeCells count="1">
    <mergeCell ref="A25:D26"/>
  </mergeCells>
  <phoneticPr fontId="1" type="noConversion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FAD6E-8B81-4B3D-90EF-9E65F0168E7A}">
  <dimension ref="A1:F19"/>
  <sheetViews>
    <sheetView workbookViewId="0">
      <selection activeCell="F10" sqref="F10"/>
    </sheetView>
  </sheetViews>
  <sheetFormatPr baseColWidth="10" defaultRowHeight="12.75" x14ac:dyDescent="0.2"/>
  <cols>
    <col min="1" max="1" width="22.140625" customWidth="1"/>
    <col min="2" max="2" width="17.85546875" customWidth="1"/>
    <col min="3" max="3" width="15" customWidth="1"/>
    <col min="4" max="4" width="14.140625" customWidth="1"/>
    <col min="5" max="6" width="13.28515625" customWidth="1"/>
  </cols>
  <sheetData>
    <row r="1" spans="1:6" ht="63.75" x14ac:dyDescent="0.2">
      <c r="A1" s="5"/>
      <c r="B1" s="22" t="s">
        <v>19</v>
      </c>
      <c r="C1" s="22" t="s">
        <v>5</v>
      </c>
      <c r="D1" s="22" t="s">
        <v>14</v>
      </c>
      <c r="E1" s="22" t="s">
        <v>18</v>
      </c>
      <c r="F1" s="96" t="s">
        <v>168</v>
      </c>
    </row>
    <row r="2" spans="1:6" x14ac:dyDescent="0.2">
      <c r="A2" s="20" t="s">
        <v>10</v>
      </c>
      <c r="B2" s="5"/>
      <c r="C2" s="5"/>
      <c r="D2" s="5"/>
      <c r="E2" s="5"/>
      <c r="F2" s="5"/>
    </row>
    <row r="3" spans="1:6" x14ac:dyDescent="0.2">
      <c r="A3" s="7" t="s">
        <v>3</v>
      </c>
      <c r="B3" s="6">
        <v>350000</v>
      </c>
      <c r="C3" s="6">
        <f>B3/10*9/10</f>
        <v>31500</v>
      </c>
      <c r="D3" s="6"/>
      <c r="E3" s="6"/>
      <c r="F3" s="6"/>
    </row>
    <row r="4" spans="1:6" x14ac:dyDescent="0.2">
      <c r="A4" s="7" t="s">
        <v>4</v>
      </c>
      <c r="B4" s="11">
        <v>0.05</v>
      </c>
      <c r="C4" s="6">
        <f>B3*B4</f>
        <v>17500</v>
      </c>
      <c r="D4" s="6"/>
      <c r="E4" s="6"/>
      <c r="F4" s="6"/>
    </row>
    <row r="5" spans="1:6" x14ac:dyDescent="0.2">
      <c r="A5" s="7" t="s">
        <v>20</v>
      </c>
      <c r="B5" s="11">
        <v>0.01</v>
      </c>
      <c r="C5" s="6">
        <f>B3*B5</f>
        <v>3500</v>
      </c>
      <c r="D5" s="6"/>
      <c r="E5" s="6"/>
      <c r="F5" s="6"/>
    </row>
    <row r="6" spans="1:6" x14ac:dyDescent="0.2">
      <c r="A6" s="7" t="s">
        <v>6</v>
      </c>
      <c r="B6" s="11">
        <v>5.0000000000000001E-3</v>
      </c>
      <c r="C6" s="6">
        <f>B3*B6</f>
        <v>1750</v>
      </c>
      <c r="D6" s="6"/>
      <c r="E6" s="6"/>
      <c r="F6" s="6"/>
    </row>
    <row r="7" spans="1:6" x14ac:dyDescent="0.2">
      <c r="A7" s="7" t="s">
        <v>7</v>
      </c>
      <c r="B7" s="11">
        <v>0.1</v>
      </c>
      <c r="C7" s="6"/>
      <c r="D7" s="6"/>
      <c r="E7" s="6"/>
      <c r="F7" s="6"/>
    </row>
    <row r="8" spans="1:6" x14ac:dyDescent="0.2">
      <c r="A8" s="7" t="s">
        <v>8</v>
      </c>
      <c r="B8" s="11" t="s">
        <v>9</v>
      </c>
      <c r="C8" s="6"/>
      <c r="D8" s="6"/>
      <c r="E8" s="6"/>
      <c r="F8" s="6"/>
    </row>
    <row r="9" spans="1:6" x14ac:dyDescent="0.2">
      <c r="A9" s="9" t="s">
        <v>11</v>
      </c>
      <c r="B9" s="6"/>
      <c r="C9" s="6">
        <f>SUM(C3:C8)</f>
        <v>54250</v>
      </c>
      <c r="D9" s="6"/>
      <c r="E9" s="6">
        <f>C9/200</f>
        <v>271.25</v>
      </c>
      <c r="F9" s="6">
        <f>C9/300</f>
        <v>180.83333333333334</v>
      </c>
    </row>
    <row r="10" spans="1:6" x14ac:dyDescent="0.2">
      <c r="A10" s="7"/>
      <c r="B10" s="6"/>
      <c r="C10" s="6"/>
      <c r="D10" s="6"/>
      <c r="E10" s="6"/>
      <c r="F10" s="6"/>
    </row>
    <row r="11" spans="1:6" x14ac:dyDescent="0.2">
      <c r="A11" s="9" t="s">
        <v>12</v>
      </c>
      <c r="B11" s="6"/>
      <c r="C11" s="6"/>
      <c r="D11" s="7"/>
      <c r="E11" s="6"/>
      <c r="F11" s="6"/>
    </row>
    <row r="12" spans="1:6" x14ac:dyDescent="0.2">
      <c r="A12" s="7" t="s">
        <v>13</v>
      </c>
      <c r="B12" s="6"/>
      <c r="C12" s="6"/>
      <c r="D12" s="6">
        <v>42</v>
      </c>
      <c r="E12" s="6"/>
      <c r="F12" s="6"/>
    </row>
    <row r="13" spans="1:6" x14ac:dyDescent="0.2">
      <c r="A13" s="7" t="s">
        <v>15</v>
      </c>
      <c r="B13" s="6"/>
      <c r="C13" s="6"/>
      <c r="D13" s="6">
        <v>1</v>
      </c>
      <c r="E13" s="6"/>
      <c r="F13" s="6"/>
    </row>
    <row r="14" spans="1:6" x14ac:dyDescent="0.2">
      <c r="A14" s="7" t="s">
        <v>16</v>
      </c>
      <c r="B14" s="6"/>
      <c r="C14" s="6"/>
      <c r="D14" s="6">
        <v>7.8</v>
      </c>
      <c r="E14" s="6"/>
      <c r="F14" s="6"/>
    </row>
    <row r="15" spans="1:6" x14ac:dyDescent="0.2">
      <c r="A15" s="7"/>
      <c r="B15" s="7"/>
      <c r="C15" s="7"/>
      <c r="D15" s="7"/>
      <c r="E15" s="7"/>
      <c r="F15" s="7"/>
    </row>
    <row r="16" spans="1:6" x14ac:dyDescent="0.2">
      <c r="A16" s="9" t="s">
        <v>17</v>
      </c>
      <c r="B16" s="7"/>
      <c r="C16" s="7"/>
      <c r="D16" s="6">
        <f>SUM(D12:D15)</f>
        <v>50.8</v>
      </c>
      <c r="E16" s="7"/>
      <c r="F16" s="7"/>
    </row>
    <row r="17" spans="1:6" x14ac:dyDescent="0.2">
      <c r="A17" s="7"/>
      <c r="B17" s="7"/>
      <c r="C17" s="7"/>
      <c r="D17" s="7"/>
      <c r="E17" s="7"/>
      <c r="F17" s="7"/>
    </row>
    <row r="18" spans="1:6" ht="12.75" customHeight="1" x14ac:dyDescent="0.2">
      <c r="A18" s="113" t="s">
        <v>156</v>
      </c>
      <c r="B18" s="113"/>
      <c r="C18" s="113"/>
      <c r="D18" s="113"/>
      <c r="E18" s="92"/>
      <c r="F18" s="92"/>
    </row>
    <row r="19" spans="1:6" x14ac:dyDescent="0.2">
      <c r="A19" s="113"/>
      <c r="B19" s="113"/>
      <c r="C19" s="113"/>
      <c r="D19" s="113"/>
      <c r="E19" s="93">
        <f>E9+D16</f>
        <v>322.05</v>
      </c>
      <c r="F19" s="93">
        <f>F9+E16</f>
        <v>180.83333333333334</v>
      </c>
    </row>
  </sheetData>
  <mergeCells count="1">
    <mergeCell ref="A18:D19"/>
  </mergeCells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02D96-529A-466A-9379-0C553A51B4CD}">
  <dimension ref="A1:E19"/>
  <sheetViews>
    <sheetView workbookViewId="0">
      <selection activeCell="D15" sqref="D15"/>
    </sheetView>
  </sheetViews>
  <sheetFormatPr baseColWidth="10" defaultRowHeight="12.75" x14ac:dyDescent="0.2"/>
  <cols>
    <col min="1" max="1" width="22.140625" customWidth="1"/>
    <col min="2" max="2" width="17.85546875" customWidth="1"/>
    <col min="3" max="3" width="15" customWidth="1"/>
    <col min="4" max="4" width="14.140625" customWidth="1"/>
    <col min="5" max="5" width="13.28515625" customWidth="1"/>
  </cols>
  <sheetData>
    <row r="1" spans="1:5" ht="84.75" customHeight="1" x14ac:dyDescent="0.2">
      <c r="A1" s="5"/>
      <c r="B1" s="22" t="s">
        <v>19</v>
      </c>
      <c r="C1" s="22" t="s">
        <v>5</v>
      </c>
      <c r="D1" s="22" t="s">
        <v>14</v>
      </c>
      <c r="E1" s="22" t="s">
        <v>18</v>
      </c>
    </row>
    <row r="2" spans="1:5" x14ac:dyDescent="0.2">
      <c r="A2" s="20" t="s">
        <v>10</v>
      </c>
      <c r="B2" s="5"/>
      <c r="C2" s="5"/>
      <c r="D2" s="5"/>
      <c r="E2" s="5"/>
    </row>
    <row r="3" spans="1:5" x14ac:dyDescent="0.2">
      <c r="A3" s="7" t="s">
        <v>3</v>
      </c>
      <c r="B3" s="6">
        <v>180000</v>
      </c>
      <c r="C3" s="6">
        <f>B3/10*9/10</f>
        <v>16200</v>
      </c>
      <c r="D3" s="6"/>
      <c r="E3" s="6"/>
    </row>
    <row r="4" spans="1:5" x14ac:dyDescent="0.2">
      <c r="A4" s="7" t="s">
        <v>4</v>
      </c>
      <c r="B4" s="11">
        <v>0.05</v>
      </c>
      <c r="C4" s="6">
        <f>B3*B4</f>
        <v>9000</v>
      </c>
      <c r="D4" s="6"/>
      <c r="E4" s="6"/>
    </row>
    <row r="5" spans="1:5" x14ac:dyDescent="0.2">
      <c r="A5" s="7" t="s">
        <v>20</v>
      </c>
      <c r="B5" s="11">
        <v>0.01</v>
      </c>
      <c r="C5" s="6">
        <f>B3*B5</f>
        <v>1800</v>
      </c>
      <c r="D5" s="6"/>
      <c r="E5" s="6"/>
    </row>
    <row r="6" spans="1:5" x14ac:dyDescent="0.2">
      <c r="A6" s="7" t="s">
        <v>6</v>
      </c>
      <c r="B6" s="11">
        <v>5.0000000000000001E-3</v>
      </c>
      <c r="C6" s="6">
        <f>B3*B6</f>
        <v>900</v>
      </c>
      <c r="D6" s="6"/>
      <c r="E6" s="6"/>
    </row>
    <row r="7" spans="1:5" x14ac:dyDescent="0.2">
      <c r="A7" s="7" t="s">
        <v>7</v>
      </c>
      <c r="B7" s="11">
        <v>0.1</v>
      </c>
      <c r="C7" s="6"/>
      <c r="D7" s="6"/>
      <c r="E7" s="6"/>
    </row>
    <row r="8" spans="1:5" x14ac:dyDescent="0.2">
      <c r="A8" s="7" t="s">
        <v>8</v>
      </c>
      <c r="B8" s="11" t="s">
        <v>9</v>
      </c>
      <c r="C8" s="6"/>
      <c r="D8" s="6"/>
      <c r="E8" s="6"/>
    </row>
    <row r="9" spans="1:5" x14ac:dyDescent="0.2">
      <c r="A9" s="9" t="s">
        <v>11</v>
      </c>
      <c r="B9" s="6"/>
      <c r="C9" s="6">
        <f>SUM(C3:C8)</f>
        <v>27900</v>
      </c>
      <c r="D9" s="6"/>
      <c r="E9" s="6">
        <f>C9/200</f>
        <v>139.5</v>
      </c>
    </row>
    <row r="10" spans="1:5" x14ac:dyDescent="0.2">
      <c r="A10" s="7"/>
      <c r="B10" s="6"/>
      <c r="C10" s="6"/>
      <c r="D10" s="6"/>
      <c r="E10" s="6"/>
    </row>
    <row r="11" spans="1:5" x14ac:dyDescent="0.2">
      <c r="A11" s="9" t="s">
        <v>12</v>
      </c>
      <c r="B11" s="6"/>
      <c r="C11" s="6"/>
      <c r="D11" s="7"/>
      <c r="E11" s="6"/>
    </row>
    <row r="12" spans="1:5" x14ac:dyDescent="0.2">
      <c r="A12" s="7" t="s">
        <v>13</v>
      </c>
      <c r="B12" s="6"/>
      <c r="C12" s="6"/>
      <c r="D12" s="6">
        <v>0</v>
      </c>
      <c r="E12" s="6"/>
    </row>
    <row r="13" spans="1:5" x14ac:dyDescent="0.2">
      <c r="A13" s="7" t="s">
        <v>15</v>
      </c>
      <c r="B13" s="6"/>
      <c r="C13" s="6"/>
      <c r="D13" s="6">
        <v>1</v>
      </c>
      <c r="E13" s="6"/>
    </row>
    <row r="14" spans="1:5" x14ac:dyDescent="0.2">
      <c r="A14" s="7" t="s">
        <v>16</v>
      </c>
      <c r="B14" s="6"/>
      <c r="C14" s="6"/>
      <c r="D14" s="6">
        <v>10.5</v>
      </c>
      <c r="E14" s="6"/>
    </row>
    <row r="15" spans="1:5" x14ac:dyDescent="0.2">
      <c r="A15" s="7"/>
      <c r="B15" s="7"/>
      <c r="C15" s="7"/>
      <c r="D15" s="7"/>
      <c r="E15" s="7"/>
    </row>
    <row r="16" spans="1:5" x14ac:dyDescent="0.2">
      <c r="A16" s="9" t="s">
        <v>17</v>
      </c>
      <c r="B16" s="7"/>
      <c r="C16" s="7"/>
      <c r="D16" s="6">
        <f>SUM(D12:D15)</f>
        <v>11.5</v>
      </c>
      <c r="E16" s="7"/>
    </row>
    <row r="17" spans="1:5" x14ac:dyDescent="0.2">
      <c r="A17" s="7"/>
      <c r="B17" s="7"/>
      <c r="C17" s="7"/>
      <c r="D17" s="7"/>
      <c r="E17" s="7"/>
    </row>
    <row r="18" spans="1:5" ht="12.75" customHeight="1" x14ac:dyDescent="0.2">
      <c r="A18" s="113" t="s">
        <v>156</v>
      </c>
      <c r="B18" s="113"/>
      <c r="C18" s="113"/>
      <c r="D18" s="113"/>
      <c r="E18" s="92"/>
    </row>
    <row r="19" spans="1:5" x14ac:dyDescent="0.2">
      <c r="A19" s="113"/>
      <c r="B19" s="113"/>
      <c r="C19" s="113"/>
      <c r="D19" s="113"/>
      <c r="E19" s="93">
        <f>E9+D16</f>
        <v>151</v>
      </c>
    </row>
  </sheetData>
  <mergeCells count="1">
    <mergeCell ref="A18:D19"/>
  </mergeCells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A16D4-1D28-437F-9C74-1D6EFFBA30B2}">
  <dimension ref="A1:C55"/>
  <sheetViews>
    <sheetView topLeftCell="A9" workbookViewId="0">
      <selection activeCell="B3" sqref="B3"/>
    </sheetView>
  </sheetViews>
  <sheetFormatPr baseColWidth="10" defaultRowHeight="12.75" x14ac:dyDescent="0.2"/>
  <cols>
    <col min="1" max="1" width="22.42578125" customWidth="1"/>
    <col min="2" max="2" width="11.5703125" customWidth="1"/>
    <col min="3" max="3" width="5.7109375" customWidth="1"/>
  </cols>
  <sheetData>
    <row r="1" spans="1:3" ht="16.5" thickBot="1" x14ac:dyDescent="0.25">
      <c r="A1" s="33"/>
      <c r="B1" s="34" t="s">
        <v>70</v>
      </c>
      <c r="C1" s="33"/>
    </row>
    <row r="2" spans="1:3" x14ac:dyDescent="0.2">
      <c r="A2" s="35" t="s">
        <v>71</v>
      </c>
      <c r="B2" s="36" t="s">
        <v>66</v>
      </c>
      <c r="C2" s="37"/>
    </row>
    <row r="3" spans="1:3" x14ac:dyDescent="0.2">
      <c r="A3" s="38" t="s">
        <v>72</v>
      </c>
      <c r="B3" s="39">
        <v>320000</v>
      </c>
      <c r="C3" s="40" t="s">
        <v>73</v>
      </c>
    </row>
    <row r="4" spans="1:3" x14ac:dyDescent="0.2">
      <c r="A4" s="41" t="s">
        <v>7</v>
      </c>
      <c r="B4" s="42">
        <v>20000</v>
      </c>
      <c r="C4" s="43" t="s">
        <v>73</v>
      </c>
    </row>
    <row r="5" spans="1:3" x14ac:dyDescent="0.2">
      <c r="A5" s="41" t="s">
        <v>8</v>
      </c>
      <c r="B5" s="42">
        <v>10</v>
      </c>
      <c r="C5" s="43" t="s">
        <v>74</v>
      </c>
    </row>
    <row r="6" spans="1:3" x14ac:dyDescent="0.2">
      <c r="A6" s="41" t="s">
        <v>75</v>
      </c>
      <c r="B6" s="42">
        <v>5000</v>
      </c>
      <c r="C6" s="43" t="s">
        <v>76</v>
      </c>
    </row>
    <row r="7" spans="1:3" x14ac:dyDescent="0.2">
      <c r="A7" s="41" t="s">
        <v>77</v>
      </c>
      <c r="B7" s="42">
        <v>6</v>
      </c>
      <c r="C7" s="43" t="s">
        <v>78</v>
      </c>
    </row>
    <row r="8" spans="1:3" x14ac:dyDescent="0.2">
      <c r="A8" s="44" t="s">
        <v>79</v>
      </c>
      <c r="B8" s="42">
        <v>50</v>
      </c>
      <c r="C8" s="43" t="s">
        <v>80</v>
      </c>
    </row>
    <row r="9" spans="1:3" x14ac:dyDescent="0.2">
      <c r="A9" s="45" t="s">
        <v>81</v>
      </c>
      <c r="B9" s="46">
        <f>(B3-B4)/B5</f>
        <v>30000</v>
      </c>
      <c r="C9" s="47" t="s">
        <v>82</v>
      </c>
    </row>
    <row r="10" spans="1:3" x14ac:dyDescent="0.2">
      <c r="A10" s="45" t="s">
        <v>83</v>
      </c>
      <c r="B10" s="48">
        <f>(B3-B4)/B6</f>
        <v>60</v>
      </c>
      <c r="C10" s="47" t="s">
        <v>84</v>
      </c>
    </row>
    <row r="11" spans="1:3" x14ac:dyDescent="0.2">
      <c r="A11" s="41" t="s">
        <v>85</v>
      </c>
      <c r="B11" s="42">
        <f>B3*B8*B7/10000</f>
        <v>9600</v>
      </c>
      <c r="C11" s="43" t="s">
        <v>82</v>
      </c>
    </row>
    <row r="12" spans="1:3" x14ac:dyDescent="0.2">
      <c r="A12" s="41" t="s">
        <v>86</v>
      </c>
      <c r="B12" s="49">
        <v>0.5</v>
      </c>
      <c r="C12" s="43" t="s">
        <v>87</v>
      </c>
    </row>
    <row r="13" spans="1:3" x14ac:dyDescent="0.2">
      <c r="A13" s="41"/>
      <c r="B13" s="48">
        <f>B3*B12/100</f>
        <v>1600</v>
      </c>
      <c r="C13" s="47" t="s">
        <v>82</v>
      </c>
    </row>
    <row r="14" spans="1:3" ht="13.5" thickBot="1" x14ac:dyDescent="0.25">
      <c r="A14" s="41" t="s">
        <v>88</v>
      </c>
      <c r="B14" s="42">
        <v>600</v>
      </c>
      <c r="C14" s="43" t="s">
        <v>82</v>
      </c>
    </row>
    <row r="15" spans="1:3" ht="13.5" thickBot="1" x14ac:dyDescent="0.25">
      <c r="A15" s="50" t="s">
        <v>89</v>
      </c>
      <c r="B15" s="51">
        <f>B11+B9+B13+B14</f>
        <v>41800</v>
      </c>
      <c r="C15" s="52" t="s">
        <v>82</v>
      </c>
    </row>
    <row r="16" spans="1:3" x14ac:dyDescent="0.2">
      <c r="A16" s="53" t="str">
        <f>CONCATENATE("Festkosten/h bei ",B26*B27+B26*B29," h/a")</f>
        <v>Festkosten/h bei 440 h/a</v>
      </c>
      <c r="B16" s="54">
        <f>B15/B26/B27</f>
        <v>104.5</v>
      </c>
      <c r="C16" s="47" t="s">
        <v>84</v>
      </c>
    </row>
    <row r="17" spans="1:3" x14ac:dyDescent="0.2">
      <c r="A17" s="38"/>
      <c r="B17" s="55"/>
      <c r="C17" s="40"/>
    </row>
    <row r="18" spans="1:3" x14ac:dyDescent="0.2">
      <c r="A18" s="41" t="s">
        <v>13</v>
      </c>
      <c r="B18" s="49">
        <v>15</v>
      </c>
      <c r="C18" s="43" t="s">
        <v>90</v>
      </c>
    </row>
    <row r="19" spans="1:3" x14ac:dyDescent="0.2">
      <c r="A19" s="41" t="s">
        <v>91</v>
      </c>
      <c r="B19" s="49">
        <v>0.95</v>
      </c>
      <c r="C19" s="43" t="s">
        <v>92</v>
      </c>
    </row>
    <row r="20" spans="1:3" x14ac:dyDescent="0.2">
      <c r="A20" s="41" t="s">
        <v>93</v>
      </c>
      <c r="B20" s="49">
        <v>3</v>
      </c>
      <c r="C20" s="43" t="s">
        <v>84</v>
      </c>
    </row>
    <row r="21" spans="1:3" x14ac:dyDescent="0.2">
      <c r="A21" s="41" t="s">
        <v>94</v>
      </c>
      <c r="B21" s="56">
        <v>1</v>
      </c>
      <c r="C21" s="43" t="s">
        <v>95</v>
      </c>
    </row>
    <row r="22" spans="1:3" x14ac:dyDescent="0.2">
      <c r="A22" s="41" t="s">
        <v>96</v>
      </c>
      <c r="B22" s="49">
        <v>15</v>
      </c>
      <c r="C22" s="43" t="s">
        <v>97</v>
      </c>
    </row>
    <row r="23" spans="1:3" x14ac:dyDescent="0.2">
      <c r="A23" s="41" t="s">
        <v>98</v>
      </c>
      <c r="B23" s="49">
        <v>10</v>
      </c>
      <c r="C23" s="43" t="s">
        <v>84</v>
      </c>
    </row>
    <row r="24" spans="1:3" x14ac:dyDescent="0.2">
      <c r="A24" s="57" t="s">
        <v>99</v>
      </c>
      <c r="B24" s="58">
        <f>B18*B19+B20+B21*B22+B23</f>
        <v>42.25</v>
      </c>
      <c r="C24" s="59" t="s">
        <v>84</v>
      </c>
    </row>
    <row r="25" spans="1:3" x14ac:dyDescent="0.2">
      <c r="A25" s="41"/>
      <c r="B25" s="60"/>
      <c r="C25" s="43"/>
    </row>
    <row r="26" spans="1:3" x14ac:dyDescent="0.2">
      <c r="A26" s="41" t="s">
        <v>100</v>
      </c>
      <c r="B26" s="42">
        <v>40</v>
      </c>
      <c r="C26" s="43" t="s">
        <v>101</v>
      </c>
    </row>
    <row r="27" spans="1:3" x14ac:dyDescent="0.2">
      <c r="A27" s="41" t="s">
        <v>102</v>
      </c>
      <c r="B27" s="49">
        <v>10</v>
      </c>
      <c r="C27" s="43" t="s">
        <v>76</v>
      </c>
    </row>
    <row r="28" spans="1:3" x14ac:dyDescent="0.2">
      <c r="A28" s="41" t="s">
        <v>103</v>
      </c>
      <c r="B28" s="49">
        <v>2</v>
      </c>
      <c r="C28" s="43" t="s">
        <v>104</v>
      </c>
    </row>
    <row r="29" spans="1:3" x14ac:dyDescent="0.2">
      <c r="A29" s="41" t="s">
        <v>105</v>
      </c>
      <c r="B29" s="49">
        <v>1</v>
      </c>
      <c r="C29" s="43" t="s">
        <v>104</v>
      </c>
    </row>
    <row r="30" spans="1:3" x14ac:dyDescent="0.2">
      <c r="A30" s="61" t="s">
        <v>106</v>
      </c>
      <c r="B30" s="62">
        <f>(B28+B29)*B22</f>
        <v>45</v>
      </c>
      <c r="C30" s="63" t="s">
        <v>107</v>
      </c>
    </row>
    <row r="31" spans="1:3" x14ac:dyDescent="0.2">
      <c r="A31" s="64" t="s">
        <v>108</v>
      </c>
      <c r="B31" s="58">
        <f>B30/B27</f>
        <v>4.5</v>
      </c>
      <c r="C31" s="59" t="s">
        <v>84</v>
      </c>
    </row>
    <row r="32" spans="1:3" x14ac:dyDescent="0.2">
      <c r="A32" s="41"/>
      <c r="B32" s="60"/>
      <c r="C32" s="43"/>
    </row>
    <row r="33" spans="1:3" x14ac:dyDescent="0.2">
      <c r="A33" s="41" t="s">
        <v>109</v>
      </c>
      <c r="B33" s="49">
        <v>3.5</v>
      </c>
      <c r="C33" s="43" t="s">
        <v>110</v>
      </c>
    </row>
    <row r="34" spans="1:3" x14ac:dyDescent="0.2">
      <c r="A34" s="41"/>
      <c r="B34" s="54">
        <f>B33/3.6</f>
        <v>0.97222222222222221</v>
      </c>
      <c r="C34" s="47" t="s">
        <v>111</v>
      </c>
    </row>
    <row r="35" spans="1:3" x14ac:dyDescent="0.2">
      <c r="A35" s="41" t="s">
        <v>37</v>
      </c>
      <c r="B35" s="49">
        <v>0.3</v>
      </c>
      <c r="C35" s="43" t="s">
        <v>112</v>
      </c>
    </row>
    <row r="36" spans="1:3" x14ac:dyDescent="0.2">
      <c r="A36" s="41" t="s">
        <v>113</v>
      </c>
      <c r="B36" s="49">
        <v>0.3</v>
      </c>
      <c r="C36" s="43" t="s">
        <v>112</v>
      </c>
    </row>
    <row r="37" spans="1:3" x14ac:dyDescent="0.2">
      <c r="A37" s="41" t="s">
        <v>114</v>
      </c>
      <c r="B37" s="56">
        <v>80</v>
      </c>
      <c r="C37" s="43" t="s">
        <v>115</v>
      </c>
    </row>
    <row r="38" spans="1:3" x14ac:dyDescent="0.2">
      <c r="A38" s="41" t="s">
        <v>28</v>
      </c>
      <c r="B38" s="49">
        <v>2</v>
      </c>
      <c r="C38" s="43" t="s">
        <v>115</v>
      </c>
    </row>
    <row r="39" spans="1:3" x14ac:dyDescent="0.2">
      <c r="A39" s="45" t="s">
        <v>116</v>
      </c>
      <c r="B39" s="65">
        <f>10000/B37/B38</f>
        <v>62.5</v>
      </c>
      <c r="C39" s="47" t="s">
        <v>117</v>
      </c>
    </row>
    <row r="40" spans="1:3" x14ac:dyDescent="0.2">
      <c r="A40" s="45" t="s">
        <v>118</v>
      </c>
      <c r="B40" s="48">
        <f>B39*B37</f>
        <v>5000</v>
      </c>
      <c r="C40" s="47" t="s">
        <v>115</v>
      </c>
    </row>
    <row r="41" spans="1:3" x14ac:dyDescent="0.2">
      <c r="A41" s="45" t="s">
        <v>119</v>
      </c>
      <c r="B41" s="54">
        <f>B40/B33/1000</f>
        <v>1.4285714285714286</v>
      </c>
      <c r="C41" s="47" t="s">
        <v>120</v>
      </c>
    </row>
    <row r="42" spans="1:3" x14ac:dyDescent="0.2">
      <c r="A42" s="66" t="s">
        <v>121</v>
      </c>
      <c r="B42" s="54">
        <f>B41+B39*(B36+B35)/60</f>
        <v>2.0535714285714288</v>
      </c>
      <c r="C42" s="47" t="s">
        <v>120</v>
      </c>
    </row>
    <row r="43" spans="1:3" x14ac:dyDescent="0.2">
      <c r="A43" s="67" t="s">
        <v>122</v>
      </c>
      <c r="B43" s="62">
        <f>1/B42</f>
        <v>0.4869565217391304</v>
      </c>
      <c r="C43" s="63" t="s">
        <v>123</v>
      </c>
    </row>
    <row r="44" spans="1:3" x14ac:dyDescent="0.2">
      <c r="A44" s="45" t="s">
        <v>124</v>
      </c>
      <c r="B44" s="54">
        <f>B27/B42</f>
        <v>4.8695652173913038</v>
      </c>
      <c r="C44" s="47" t="s">
        <v>125</v>
      </c>
    </row>
    <row r="45" spans="1:3" x14ac:dyDescent="0.2">
      <c r="A45" s="68" t="s">
        <v>126</v>
      </c>
      <c r="B45" s="69">
        <f>B44*B26</f>
        <v>194.78260869565216</v>
      </c>
      <c r="C45" s="70" t="s">
        <v>127</v>
      </c>
    </row>
    <row r="46" spans="1:3" x14ac:dyDescent="0.2">
      <c r="A46" s="41" t="s">
        <v>128</v>
      </c>
      <c r="B46" s="56">
        <v>1</v>
      </c>
      <c r="C46" s="43"/>
    </row>
    <row r="47" spans="1:3" x14ac:dyDescent="0.2">
      <c r="A47" s="71" t="s">
        <v>129</v>
      </c>
      <c r="B47" s="72">
        <f>B45/B46</f>
        <v>194.78260869565216</v>
      </c>
      <c r="C47" s="73" t="s">
        <v>127</v>
      </c>
    </row>
    <row r="48" spans="1:3" x14ac:dyDescent="0.2">
      <c r="A48" s="41"/>
      <c r="B48" s="60"/>
      <c r="C48" s="43"/>
    </row>
    <row r="49" spans="1:3" ht="13.5" thickBot="1" x14ac:dyDescent="0.25">
      <c r="A49" s="74" t="s">
        <v>130</v>
      </c>
      <c r="B49" s="75">
        <f>B16+B24+B31</f>
        <v>151.25</v>
      </c>
      <c r="C49" s="76" t="s">
        <v>84</v>
      </c>
    </row>
    <row r="50" spans="1:3" ht="17.25" thickTop="1" thickBot="1" x14ac:dyDescent="0.3">
      <c r="A50" s="77" t="s">
        <v>131</v>
      </c>
      <c r="B50" s="78">
        <f>B49*B42</f>
        <v>310.60267857142861</v>
      </c>
      <c r="C50" s="79" t="s">
        <v>132</v>
      </c>
    </row>
    <row r="51" spans="1:3" ht="13.5" thickTop="1" x14ac:dyDescent="0.2">
      <c r="A51" s="41"/>
      <c r="B51" s="60"/>
      <c r="C51" s="43"/>
    </row>
    <row r="52" spans="1:3" x14ac:dyDescent="0.2">
      <c r="A52" s="45" t="s">
        <v>133</v>
      </c>
      <c r="B52" s="65">
        <f>B6/B26/(B27+B29)</f>
        <v>11.363636363636363</v>
      </c>
      <c r="C52" s="47" t="s">
        <v>74</v>
      </c>
    </row>
    <row r="53" spans="1:3" x14ac:dyDescent="0.2">
      <c r="A53" s="41" t="s">
        <v>134</v>
      </c>
      <c r="B53" s="80">
        <v>10</v>
      </c>
      <c r="C53" s="43" t="s">
        <v>74</v>
      </c>
    </row>
    <row r="54" spans="1:3" x14ac:dyDescent="0.2">
      <c r="A54" s="45" t="s">
        <v>135</v>
      </c>
      <c r="B54" s="54">
        <f>B53*B45</f>
        <v>1947.8260869565215</v>
      </c>
      <c r="C54" s="47" t="s">
        <v>136</v>
      </c>
    </row>
    <row r="55" spans="1:3" ht="13.5" thickBot="1" x14ac:dyDescent="0.25">
      <c r="A55" s="81"/>
      <c r="B55" s="82">
        <f>B53*B26*B27+B26*B29*B53</f>
        <v>4400</v>
      </c>
      <c r="C55" s="83" t="s">
        <v>137</v>
      </c>
    </row>
  </sheetData>
  <pageMargins left="0.7" right="0.7" top="0.78740157499999996" bottom="0.78740157499999996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Scroll Bar 1">
              <controlPr defaultSize="0" autoPict="0">
                <anchor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4" name="Scroll Bar 2">
              <controlPr defaultSize="0" autoPict="0">
                <anchor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workbookViewId="0">
      <selection sqref="A1:F12"/>
    </sheetView>
  </sheetViews>
  <sheetFormatPr baseColWidth="10" defaultRowHeight="12.75" x14ac:dyDescent="0.2"/>
  <cols>
    <col min="1" max="1" width="11" bestFit="1" customWidth="1"/>
    <col min="2" max="2" width="32.140625" style="19" bestFit="1" customWidth="1"/>
    <col min="3" max="3" width="15.28515625" style="19" bestFit="1" customWidth="1"/>
    <col min="4" max="4" width="17.140625" style="19" bestFit="1" customWidth="1"/>
    <col min="5" max="5" width="13.7109375" style="19" bestFit="1" customWidth="1"/>
    <col min="6" max="6" width="23.28515625" style="19" bestFit="1" customWidth="1"/>
  </cols>
  <sheetData>
    <row r="1" spans="1:6" ht="15.75" x14ac:dyDescent="0.2">
      <c r="A1" s="114" t="s">
        <v>28</v>
      </c>
      <c r="B1" s="12" t="s">
        <v>29</v>
      </c>
      <c r="C1" s="12" t="s">
        <v>32</v>
      </c>
      <c r="D1" s="12" t="s">
        <v>34</v>
      </c>
      <c r="E1" s="12" t="s">
        <v>37</v>
      </c>
      <c r="F1" s="12" t="s">
        <v>40</v>
      </c>
    </row>
    <row r="2" spans="1:6" ht="15.75" x14ac:dyDescent="0.2">
      <c r="A2" s="115"/>
      <c r="B2" s="13" t="s">
        <v>30</v>
      </c>
      <c r="C2" s="13" t="s">
        <v>33</v>
      </c>
      <c r="D2" s="13" t="s">
        <v>35</v>
      </c>
      <c r="E2" s="13" t="s">
        <v>38</v>
      </c>
      <c r="F2" s="13" t="s">
        <v>41</v>
      </c>
    </row>
    <row r="3" spans="1:6" ht="16.5" thickBot="1" x14ac:dyDescent="0.25">
      <c r="A3" s="116"/>
      <c r="B3" s="14" t="s">
        <v>31</v>
      </c>
      <c r="C3" s="14" t="s">
        <v>28</v>
      </c>
      <c r="D3" s="14" t="s">
        <v>36</v>
      </c>
      <c r="E3" s="14" t="s">
        <v>39</v>
      </c>
      <c r="F3" s="15"/>
    </row>
    <row r="4" spans="1:6" ht="15.75" x14ac:dyDescent="0.2">
      <c r="A4" s="114" t="s">
        <v>42</v>
      </c>
      <c r="B4" s="12">
        <v>67</v>
      </c>
      <c r="C4" s="117" t="s">
        <v>43</v>
      </c>
      <c r="D4" s="117" t="s">
        <v>44</v>
      </c>
      <c r="E4" s="12" t="s">
        <v>45</v>
      </c>
      <c r="F4" s="12" t="s">
        <v>47</v>
      </c>
    </row>
    <row r="5" spans="1:6" ht="15.75" x14ac:dyDescent="0.2">
      <c r="A5" s="115"/>
      <c r="B5" s="16">
        <v>134</v>
      </c>
      <c r="C5" s="118"/>
      <c r="D5" s="118"/>
      <c r="E5" s="16" t="s">
        <v>2</v>
      </c>
      <c r="F5" s="17" t="s">
        <v>48</v>
      </c>
    </row>
    <row r="6" spans="1:6" ht="16.5" thickBot="1" x14ac:dyDescent="0.25">
      <c r="A6" s="116"/>
      <c r="B6" s="18">
        <v>22</v>
      </c>
      <c r="C6" s="119"/>
      <c r="D6" s="119"/>
      <c r="E6" s="18" t="s">
        <v>46</v>
      </c>
      <c r="F6" s="15"/>
    </row>
    <row r="7" spans="1:6" ht="15.75" x14ac:dyDescent="0.2">
      <c r="A7" s="114" t="s">
        <v>49</v>
      </c>
      <c r="B7" s="12">
        <v>50</v>
      </c>
      <c r="C7" s="117" t="s">
        <v>50</v>
      </c>
      <c r="D7" s="117" t="s">
        <v>51</v>
      </c>
      <c r="E7" s="12" t="s">
        <v>52</v>
      </c>
      <c r="F7" s="12" t="s">
        <v>54</v>
      </c>
    </row>
    <row r="8" spans="1:6" ht="15.75" x14ac:dyDescent="0.2">
      <c r="A8" s="115"/>
      <c r="B8" s="16">
        <v>100</v>
      </c>
      <c r="C8" s="118"/>
      <c r="D8" s="118"/>
      <c r="E8" s="16" t="s">
        <v>1</v>
      </c>
      <c r="F8" s="16" t="s">
        <v>55</v>
      </c>
    </row>
    <row r="9" spans="1:6" ht="16.5" thickBot="1" x14ac:dyDescent="0.25">
      <c r="A9" s="116"/>
      <c r="B9" s="14">
        <v>16</v>
      </c>
      <c r="C9" s="119"/>
      <c r="D9" s="119"/>
      <c r="E9" s="18" t="s">
        <v>53</v>
      </c>
      <c r="F9" s="18" t="s">
        <v>0</v>
      </c>
    </row>
    <row r="10" spans="1:6" ht="15.75" x14ac:dyDescent="0.2">
      <c r="A10" s="114" t="s">
        <v>56</v>
      </c>
      <c r="B10" s="12">
        <v>34</v>
      </c>
      <c r="C10" s="117" t="s">
        <v>57</v>
      </c>
      <c r="D10" s="117" t="s">
        <v>58</v>
      </c>
      <c r="E10" s="12" t="s">
        <v>59</v>
      </c>
      <c r="F10" s="12" t="s">
        <v>61</v>
      </c>
    </row>
    <row r="11" spans="1:6" ht="15.75" x14ac:dyDescent="0.2">
      <c r="A11" s="115"/>
      <c r="B11" s="16">
        <v>68</v>
      </c>
      <c r="C11" s="118"/>
      <c r="D11" s="118"/>
      <c r="E11" s="16" t="s">
        <v>45</v>
      </c>
      <c r="F11" s="16" t="s">
        <v>62</v>
      </c>
    </row>
    <row r="12" spans="1:6" ht="16.5" thickBot="1" x14ac:dyDescent="0.25">
      <c r="A12" s="116"/>
      <c r="B12" s="18">
        <v>11</v>
      </c>
      <c r="C12" s="119"/>
      <c r="D12" s="119"/>
      <c r="E12" s="18" t="s">
        <v>60</v>
      </c>
      <c r="F12" s="18" t="s">
        <v>63</v>
      </c>
    </row>
  </sheetData>
  <mergeCells count="10">
    <mergeCell ref="A10:A12"/>
    <mergeCell ref="C10:C12"/>
    <mergeCell ref="D10:D12"/>
    <mergeCell ref="A1:A3"/>
    <mergeCell ref="A4:A6"/>
    <mergeCell ref="C4:C6"/>
    <mergeCell ref="D4:D6"/>
    <mergeCell ref="A7:A9"/>
    <mergeCell ref="C7:C9"/>
    <mergeCell ref="D7:D9"/>
  </mergeCells>
  <phoneticPr fontId="1" type="noConversion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Kosten der Verfahren</vt:lpstr>
      <vt:lpstr>Verfahren Traubenernte</vt:lpstr>
      <vt:lpstr>Kosten Schlepper</vt:lpstr>
      <vt:lpstr>Kosten Selbstfahrer</vt:lpstr>
      <vt:lpstr>Kosten gezogen</vt:lpstr>
      <vt:lpstr>Kosten Traubenerntemaschine</vt:lpstr>
      <vt:lpstr>Wegestrecken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Excelblat Kostenberechnung Pflanzenschutz</dc:title>
  <dc:creator>Tim</dc:creator>
  <cp:lastModifiedBy>Tim Ochssner</cp:lastModifiedBy>
  <cp:lastPrinted>2008-03-08T12:54:57Z</cp:lastPrinted>
  <dcterms:created xsi:type="dcterms:W3CDTF">2007-01-28T10:41:19Z</dcterms:created>
  <dcterms:modified xsi:type="dcterms:W3CDTF">2025-09-08T08:58:17Z</dcterms:modified>
</cp:coreProperties>
</file>